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68bc087f27c522a/Uitslagen/2026/"/>
    </mc:Choice>
  </mc:AlternateContent>
  <xr:revisionPtr revIDLastSave="10" documentId="8_{FF2EA3BE-958D-49A4-9DAF-73942800BA61}" xr6:coauthVersionLast="47" xr6:coauthVersionMax="47" xr10:uidLastSave="{E66653D6-8665-44F0-B14B-C5EDA449C89D}"/>
  <bookViews>
    <workbookView xWindow="-120" yWindow="-120" windowWidth="29040" windowHeight="15840" tabRatio="500" firstSheet="10" activeTab="17" xr2:uid="{00000000-000D-0000-FFFF-FFFF00000000}"/>
  </bookViews>
  <sheets>
    <sheet name="Instructies" sheetId="1" r:id="rId1"/>
    <sheet name="Barneveld" sheetId="2" r:id="rId2"/>
    <sheet name="Baarn" sheetId="3" r:id="rId3"/>
    <sheet name="Scherpenzeel" sheetId="4" r:id="rId4"/>
    <sheet name="4" sheetId="5" r:id="rId5"/>
    <sheet name="5" sheetId="6" r:id="rId6"/>
    <sheet name="Stand 1 en Jun" sheetId="7" r:id="rId7"/>
    <sheet name="Stand 3" sheetId="8" r:id="rId8"/>
    <sheet name="Stand Nwl" sheetId="9" r:id="rId9"/>
    <sheet name="Witte Trui" sheetId="10" r:id="rId10"/>
    <sheet name="Sprint W1" sheetId="11" r:id="rId11"/>
    <sheet name="Sprint W2" sheetId="12" r:id="rId12"/>
    <sheet name="Sprint W3" sheetId="13" r:id="rId13"/>
    <sheet name="Sprint W4" sheetId="14" r:id="rId14"/>
    <sheet name="Sprint W5" sheetId="15" r:id="rId15"/>
    <sheet name="Groene Kl1" sheetId="16" r:id="rId16"/>
    <sheet name="Groene Kl3" sheetId="17" r:id="rId17"/>
    <sheet name="Groene Nwl" sheetId="18" r:id="rId18"/>
    <sheet name="Punten" sheetId="19" r:id="rId19"/>
    <sheet name="Sprintpunten" sheetId="20" r:id="rId20"/>
  </sheets>
  <definedNames>
    <definedName name="_xlnm._FilterDatabase" localSheetId="15" hidden="1">'Groene Kl1'!$A$3:$I$103</definedName>
    <definedName name="_xlnm._FilterDatabase" localSheetId="16" hidden="1">'Groene Kl3'!$A$3:$I$103</definedName>
    <definedName name="_xlnm._FilterDatabase" localSheetId="17" hidden="1">'Groene Nwl'!$A$3:$I$103</definedName>
    <definedName name="_xlnm._FilterDatabase" localSheetId="6" hidden="1">'Stand 1 en Jun'!$A$3:$O$203</definedName>
    <definedName name="_xlnm._FilterDatabase" localSheetId="7" hidden="1">'Stand 3'!$A$3:$N$203</definedName>
    <definedName name="_xlnm._FilterDatabase" localSheetId="8" hidden="1">'Stand Nwl'!$A$3:$N$203</definedName>
    <definedName name="_xlnm._FilterDatabase" localSheetId="9" hidden="1">'Witte Trui'!$A$3:$O$203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8" i="4" l="1" a="1"/>
  <c r="H108" i="4" s="1"/>
  <c r="H5" i="4" a="1"/>
  <c r="H5" i="4" s="1"/>
  <c r="AA125" i="18"/>
  <c r="AA124" i="18"/>
  <c r="AA123" i="18"/>
  <c r="AA122" i="18"/>
  <c r="AA121" i="18"/>
  <c r="AA120" i="18"/>
  <c r="AA119" i="18"/>
  <c r="AA118" i="18"/>
  <c r="AA117" i="18"/>
  <c r="AA116" i="18"/>
  <c r="AA115" i="18"/>
  <c r="AA114" i="18"/>
  <c r="AA113" i="18"/>
  <c r="AA112" i="18"/>
  <c r="AA111" i="18"/>
  <c r="AA110" i="18"/>
  <c r="AA109" i="18"/>
  <c r="AA108" i="18"/>
  <c r="AA107" i="18"/>
  <c r="AA106" i="18"/>
  <c r="AA105" i="18"/>
  <c r="AA104" i="18"/>
  <c r="AA103" i="18"/>
  <c r="AA102" i="18"/>
  <c r="AA101" i="18"/>
  <c r="AA100" i="18"/>
  <c r="AA99" i="18"/>
  <c r="AA98" i="18"/>
  <c r="AA97" i="18"/>
  <c r="AA96" i="18"/>
  <c r="AA95" i="18"/>
  <c r="AA94" i="18"/>
  <c r="AA93" i="18"/>
  <c r="AA92" i="18"/>
  <c r="AA91" i="18"/>
  <c r="AA90" i="18"/>
  <c r="AA89" i="18"/>
  <c r="AA88" i="18"/>
  <c r="AA87" i="18"/>
  <c r="AA86" i="18"/>
  <c r="AA85" i="18"/>
  <c r="AA84" i="18"/>
  <c r="AA83" i="18"/>
  <c r="AA82" i="18"/>
  <c r="AA81" i="18"/>
  <c r="AA80" i="18"/>
  <c r="AA79" i="18"/>
  <c r="AA78" i="18"/>
  <c r="AA77" i="18"/>
  <c r="AA76" i="18"/>
  <c r="AA75" i="18"/>
  <c r="AA74" i="18"/>
  <c r="AA73" i="18"/>
  <c r="AA72" i="18"/>
  <c r="AA71" i="18"/>
  <c r="AA70" i="18"/>
  <c r="AA69" i="18"/>
  <c r="AA68" i="18"/>
  <c r="AA67" i="18"/>
  <c r="AA66" i="18"/>
  <c r="AA65" i="18"/>
  <c r="AA64" i="18"/>
  <c r="AA63" i="18"/>
  <c r="AA62" i="18"/>
  <c r="AA61" i="18"/>
  <c r="AA60" i="18"/>
  <c r="AA59" i="18"/>
  <c r="AA58" i="18"/>
  <c r="AA57" i="18"/>
  <c r="AA56" i="18"/>
  <c r="AA55" i="18"/>
  <c r="AA54" i="18"/>
  <c r="AA53" i="18"/>
  <c r="AA52" i="18"/>
  <c r="AA51" i="18"/>
  <c r="AA50" i="18"/>
  <c r="AA49" i="18"/>
  <c r="AA48" i="18"/>
  <c r="AA47" i="18"/>
  <c r="AA46" i="18"/>
  <c r="AA45" i="18"/>
  <c r="AA44" i="18"/>
  <c r="AA43" i="18"/>
  <c r="AA42" i="18"/>
  <c r="AA41" i="18"/>
  <c r="AA40" i="18"/>
  <c r="AA39" i="18"/>
  <c r="AA38" i="18"/>
  <c r="AA37" i="18"/>
  <c r="AA36" i="18"/>
  <c r="AA35" i="18"/>
  <c r="AA34" i="18"/>
  <c r="AA33" i="18"/>
  <c r="AA32" i="18"/>
  <c r="AA31" i="18"/>
  <c r="AA30" i="18"/>
  <c r="AA29" i="18"/>
  <c r="AA28" i="18"/>
  <c r="AA27" i="18"/>
  <c r="AA26" i="18"/>
  <c r="AA25" i="18"/>
  <c r="AA24" i="18"/>
  <c r="AA23" i="18"/>
  <c r="AA22" i="18"/>
  <c r="AA21" i="18"/>
  <c r="AA20" i="18"/>
  <c r="AB20" i="18" s="1"/>
  <c r="AC20" i="18" s="1"/>
  <c r="AA19" i="18"/>
  <c r="AA18" i="18"/>
  <c r="AA17" i="18"/>
  <c r="AA16" i="18"/>
  <c r="AA15" i="18"/>
  <c r="AB14" i="18"/>
  <c r="AC14" i="18" s="1"/>
  <c r="AA14" i="18"/>
  <c r="AA13" i="18"/>
  <c r="AA12" i="18"/>
  <c r="AA11" i="18"/>
  <c r="AA10" i="18"/>
  <c r="AA9" i="18"/>
  <c r="AB8" i="18"/>
  <c r="AC8" i="18" s="1"/>
  <c r="AA8" i="18"/>
  <c r="AA7" i="18"/>
  <c r="AA6" i="18"/>
  <c r="AA5" i="18"/>
  <c r="AA4" i="18"/>
  <c r="AB3" i="18"/>
  <c r="AC3" i="18" s="1"/>
  <c r="AA3" i="18"/>
  <c r="AC2" i="18"/>
  <c r="AB2" i="18"/>
  <c r="AA2" i="18"/>
  <c r="AA1" i="18"/>
  <c r="AB13" i="18" s="1"/>
  <c r="AC13" i="18" s="1"/>
  <c r="AA125" i="17"/>
  <c r="AA124" i="17"/>
  <c r="AA123" i="17"/>
  <c r="AA122" i="17"/>
  <c r="AA121" i="17"/>
  <c r="AA120" i="17"/>
  <c r="AA119" i="17"/>
  <c r="AA118" i="17"/>
  <c r="AA117" i="17"/>
  <c r="AA116" i="17"/>
  <c r="AA115" i="17"/>
  <c r="AA114" i="17"/>
  <c r="AA113" i="17"/>
  <c r="AA112" i="17"/>
  <c r="AA111" i="17"/>
  <c r="AA110" i="17"/>
  <c r="AA109" i="17"/>
  <c r="AA108" i="17"/>
  <c r="AA107" i="17"/>
  <c r="AA106" i="17"/>
  <c r="AA105" i="17"/>
  <c r="AA104" i="17"/>
  <c r="AA103" i="17"/>
  <c r="AA102" i="17"/>
  <c r="AA101" i="17"/>
  <c r="AA100" i="17"/>
  <c r="AA99" i="17"/>
  <c r="AA98" i="17"/>
  <c r="AA97" i="17"/>
  <c r="AA96" i="17"/>
  <c r="AA95" i="17"/>
  <c r="AA94" i="17"/>
  <c r="AA93" i="17"/>
  <c r="AA92" i="17"/>
  <c r="AA91" i="17"/>
  <c r="AA90" i="17"/>
  <c r="AA89" i="17"/>
  <c r="AA88" i="17"/>
  <c r="AA87" i="17"/>
  <c r="AA86" i="17"/>
  <c r="AA85" i="17"/>
  <c r="AA84" i="17"/>
  <c r="AA83" i="17"/>
  <c r="AA82" i="17"/>
  <c r="AA81" i="17"/>
  <c r="AA80" i="17"/>
  <c r="AA79" i="17"/>
  <c r="AA78" i="17"/>
  <c r="AA77" i="17"/>
  <c r="AA76" i="17"/>
  <c r="AA75" i="17"/>
  <c r="AA74" i="17"/>
  <c r="AA73" i="17"/>
  <c r="AA72" i="17"/>
  <c r="AA71" i="17"/>
  <c r="AA70" i="17"/>
  <c r="AA69" i="17"/>
  <c r="AA68" i="17"/>
  <c r="AA67" i="17"/>
  <c r="AA66" i="17"/>
  <c r="AA65" i="17"/>
  <c r="AA64" i="17"/>
  <c r="AA63" i="17"/>
  <c r="AA62" i="17"/>
  <c r="AA61" i="17"/>
  <c r="AA60" i="17"/>
  <c r="AA59" i="17"/>
  <c r="AA58" i="17"/>
  <c r="AA57" i="17"/>
  <c r="AA56" i="17"/>
  <c r="AA55" i="17"/>
  <c r="AA54" i="17"/>
  <c r="AA53" i="17"/>
  <c r="AA52" i="17"/>
  <c r="AA51" i="17"/>
  <c r="AA50" i="17"/>
  <c r="AA49" i="17"/>
  <c r="AA48" i="17"/>
  <c r="AA47" i="17"/>
  <c r="AA46" i="17"/>
  <c r="AA45" i="17"/>
  <c r="AA44" i="17"/>
  <c r="AA43" i="17"/>
  <c r="AA42" i="17"/>
  <c r="AA41" i="17"/>
  <c r="AA40" i="17"/>
  <c r="AA39" i="17"/>
  <c r="AA38" i="17"/>
  <c r="AA37" i="17"/>
  <c r="AA36" i="17"/>
  <c r="AA35" i="17"/>
  <c r="AA34" i="17"/>
  <c r="AA33" i="17"/>
  <c r="AA32" i="17"/>
  <c r="AA31" i="17"/>
  <c r="AA30" i="17"/>
  <c r="AA29" i="17"/>
  <c r="AA28" i="17"/>
  <c r="AA27" i="17"/>
  <c r="AA26" i="17"/>
  <c r="AA25" i="17"/>
  <c r="AA24" i="17"/>
  <c r="AA23" i="17"/>
  <c r="AA22" i="17"/>
  <c r="AA21" i="17"/>
  <c r="AA20" i="17"/>
  <c r="AA19" i="17"/>
  <c r="AA18" i="17"/>
  <c r="AA17" i="17"/>
  <c r="AA16" i="17"/>
  <c r="AA15" i="17"/>
  <c r="AA14" i="17"/>
  <c r="AA13" i="17"/>
  <c r="AA12" i="17"/>
  <c r="AA11" i="17"/>
  <c r="AA10" i="17"/>
  <c r="AA9" i="17"/>
  <c r="AA8" i="17"/>
  <c r="AA7" i="17"/>
  <c r="AA6" i="17"/>
  <c r="AA5" i="17"/>
  <c r="AA4" i="17"/>
  <c r="AA3" i="17"/>
  <c r="AA2" i="17"/>
  <c r="AA1" i="17"/>
  <c r="AA125" i="16"/>
  <c r="AA124" i="16"/>
  <c r="AA123" i="16"/>
  <c r="AA122" i="16"/>
  <c r="AA121" i="16"/>
  <c r="AA120" i="16"/>
  <c r="AA119" i="16"/>
  <c r="AA118" i="16"/>
  <c r="AA117" i="16"/>
  <c r="AA116" i="16"/>
  <c r="AA115" i="16"/>
  <c r="AA114" i="16"/>
  <c r="AA113" i="16"/>
  <c r="AA112" i="16"/>
  <c r="AA111" i="16"/>
  <c r="AA110" i="16"/>
  <c r="AA109" i="16"/>
  <c r="AA108" i="16"/>
  <c r="AA107" i="16"/>
  <c r="AA106" i="16"/>
  <c r="AA105" i="16"/>
  <c r="AA104" i="16"/>
  <c r="AA103" i="16"/>
  <c r="AA102" i="16"/>
  <c r="AA101" i="16"/>
  <c r="AA100" i="16"/>
  <c r="AA99" i="16"/>
  <c r="AA98" i="16"/>
  <c r="AA97" i="16"/>
  <c r="AA96" i="16"/>
  <c r="AA95" i="16"/>
  <c r="AA94" i="16"/>
  <c r="AA93" i="16"/>
  <c r="AA92" i="16"/>
  <c r="AA91" i="16"/>
  <c r="AA90" i="16"/>
  <c r="AA89" i="16"/>
  <c r="AA88" i="16"/>
  <c r="AA87" i="16"/>
  <c r="AA86" i="16"/>
  <c r="AA85" i="16"/>
  <c r="AA84" i="16"/>
  <c r="AA83" i="16"/>
  <c r="AA82" i="16"/>
  <c r="AA81" i="16"/>
  <c r="AA80" i="16"/>
  <c r="AA79" i="16"/>
  <c r="AA78" i="16"/>
  <c r="AA77" i="16"/>
  <c r="AA76" i="16"/>
  <c r="AA75" i="16"/>
  <c r="AA74" i="16"/>
  <c r="AA73" i="16"/>
  <c r="AA72" i="16"/>
  <c r="AA71" i="16"/>
  <c r="AA70" i="16"/>
  <c r="AA69" i="16"/>
  <c r="AA68" i="16"/>
  <c r="AA67" i="16"/>
  <c r="AA66" i="16"/>
  <c r="AA65" i="16"/>
  <c r="AA64" i="16"/>
  <c r="AA63" i="16"/>
  <c r="AA62" i="16"/>
  <c r="AA61" i="16"/>
  <c r="AA60" i="16"/>
  <c r="AA59" i="16"/>
  <c r="AA58" i="16"/>
  <c r="AA57" i="16"/>
  <c r="AA56" i="16"/>
  <c r="AA55" i="16"/>
  <c r="AA54" i="16"/>
  <c r="AA53" i="16"/>
  <c r="AA52" i="16"/>
  <c r="AA51" i="16"/>
  <c r="AA50" i="16"/>
  <c r="AA49" i="16"/>
  <c r="AA48" i="16"/>
  <c r="AA47" i="16"/>
  <c r="AA46" i="16"/>
  <c r="AA45" i="16"/>
  <c r="AA44" i="16"/>
  <c r="AA43" i="16"/>
  <c r="AA42" i="16"/>
  <c r="AA41" i="16"/>
  <c r="AA40" i="16"/>
  <c r="AA39" i="16"/>
  <c r="AA38" i="16"/>
  <c r="AA37" i="16"/>
  <c r="AA36" i="16"/>
  <c r="AA35" i="16"/>
  <c r="AA34" i="16"/>
  <c r="AA33" i="16"/>
  <c r="AA32" i="16"/>
  <c r="AA31" i="16"/>
  <c r="AA30" i="16"/>
  <c r="AA29" i="16"/>
  <c r="AA28" i="16"/>
  <c r="AA27" i="16"/>
  <c r="AA26" i="16"/>
  <c r="AB25" i="16"/>
  <c r="AC25" i="16" s="1"/>
  <c r="AA25" i="16"/>
  <c r="AA24" i="16"/>
  <c r="AA23" i="16"/>
  <c r="AA22" i="16"/>
  <c r="AA21" i="16"/>
  <c r="AA20" i="16"/>
  <c r="AA19" i="16"/>
  <c r="AA18" i="16"/>
  <c r="AA17" i="16"/>
  <c r="AA16" i="16"/>
  <c r="AA15" i="16"/>
  <c r="AB15" i="16" s="1"/>
  <c r="AC15" i="16" s="1"/>
  <c r="AA14" i="16"/>
  <c r="AA13" i="16"/>
  <c r="AA12" i="16"/>
  <c r="AA11" i="16"/>
  <c r="AA10" i="16"/>
  <c r="AB9" i="16"/>
  <c r="AC9" i="16" s="1"/>
  <c r="AA9" i="16"/>
  <c r="AA8" i="16"/>
  <c r="AB8" i="16" s="1"/>
  <c r="AC8" i="16" s="1"/>
  <c r="AA7" i="16"/>
  <c r="AA6" i="16"/>
  <c r="AB6" i="16" s="1"/>
  <c r="AC6" i="16" s="1"/>
  <c r="AA5" i="16"/>
  <c r="AB5" i="16" s="1"/>
  <c r="AC5" i="16" s="1"/>
  <c r="AA4" i="16"/>
  <c r="AB3" i="16"/>
  <c r="AC3" i="16" s="1"/>
  <c r="AA3" i="16"/>
  <c r="AA2" i="16"/>
  <c r="AB1" i="16"/>
  <c r="AC1" i="16" s="1"/>
  <c r="AA1" i="16"/>
  <c r="AB368" i="10"/>
  <c r="AC368" i="10" s="1"/>
  <c r="AA368" i="10"/>
  <c r="AA367" i="10"/>
  <c r="AB367" i="10" s="1"/>
  <c r="AC367" i="10" s="1"/>
  <c r="AA366" i="10"/>
  <c r="AB366" i="10" s="1"/>
  <c r="AC366" i="10" s="1"/>
  <c r="AA365" i="10"/>
  <c r="AB365" i="10" s="1"/>
  <c r="AC365" i="10" s="1"/>
  <c r="AA364" i="10"/>
  <c r="AB364" i="10" s="1"/>
  <c r="AC364" i="10" s="1"/>
  <c r="AB363" i="10"/>
  <c r="AC363" i="10" s="1"/>
  <c r="AA363" i="10"/>
  <c r="AA362" i="10"/>
  <c r="AB362" i="10" s="1"/>
  <c r="AC362" i="10" s="1"/>
  <c r="AB361" i="10"/>
  <c r="AC361" i="10" s="1"/>
  <c r="AA361" i="10"/>
  <c r="AA360" i="10"/>
  <c r="AB360" i="10" s="1"/>
  <c r="AC360" i="10" s="1"/>
  <c r="AB359" i="10"/>
  <c r="AC359" i="10" s="1"/>
  <c r="AA359" i="10"/>
  <c r="AB358" i="10"/>
  <c r="AC358" i="10" s="1"/>
  <c r="AA358" i="10"/>
  <c r="AA357" i="10"/>
  <c r="AB357" i="10" s="1"/>
  <c r="AC357" i="10" s="1"/>
  <c r="AB356" i="10"/>
  <c r="AC356" i="10" s="1"/>
  <c r="AA356" i="10"/>
  <c r="AB355" i="10"/>
  <c r="AC355" i="10" s="1"/>
  <c r="AA355" i="10"/>
  <c r="AB354" i="10"/>
  <c r="AC354" i="10" s="1"/>
  <c r="AA354" i="10"/>
  <c r="AB353" i="10"/>
  <c r="AC353" i="10" s="1"/>
  <c r="AA353" i="10"/>
  <c r="AB352" i="10"/>
  <c r="AC352" i="10" s="1"/>
  <c r="AA352" i="10"/>
  <c r="AA351" i="10"/>
  <c r="AB351" i="10" s="1"/>
  <c r="AC351" i="10" s="1"/>
  <c r="AA350" i="10"/>
  <c r="AB350" i="10" s="1"/>
  <c r="AC350" i="10" s="1"/>
  <c r="AA349" i="10"/>
  <c r="AB349" i="10" s="1"/>
  <c r="AC349" i="10" s="1"/>
  <c r="AA348" i="10"/>
  <c r="AB348" i="10" s="1"/>
  <c r="AC348" i="10" s="1"/>
  <c r="AB347" i="10"/>
  <c r="AC347" i="10" s="1"/>
  <c r="AA347" i="10"/>
  <c r="AB346" i="10"/>
  <c r="AC346" i="10" s="1"/>
  <c r="AA346" i="10"/>
  <c r="AA345" i="10"/>
  <c r="AB345" i="10" s="1"/>
  <c r="AC345" i="10" s="1"/>
  <c r="AA344" i="10"/>
  <c r="AB344" i="10" s="1"/>
  <c r="AC344" i="10" s="1"/>
  <c r="AA343" i="10"/>
  <c r="AB343" i="10" s="1"/>
  <c r="AC343" i="10" s="1"/>
  <c r="AB342" i="10"/>
  <c r="AC342" i="10" s="1"/>
  <c r="AA342" i="10"/>
  <c r="AA341" i="10"/>
  <c r="AB341" i="10" s="1"/>
  <c r="AC341" i="10" s="1"/>
  <c r="AB340" i="10"/>
  <c r="AC340" i="10" s="1"/>
  <c r="AA340" i="10"/>
  <c r="AA339" i="10"/>
  <c r="AB339" i="10" s="1"/>
  <c r="AC339" i="10" s="1"/>
  <c r="AA338" i="10"/>
  <c r="AB338" i="10" s="1"/>
  <c r="AC338" i="10" s="1"/>
  <c r="AC337" i="10"/>
  <c r="AB337" i="10"/>
  <c r="AA337" i="10"/>
  <c r="AB336" i="10"/>
  <c r="AC336" i="10" s="1"/>
  <c r="AA336" i="10"/>
  <c r="AA335" i="10"/>
  <c r="AB335" i="10" s="1"/>
  <c r="AC335" i="10" s="1"/>
  <c r="AA334" i="10"/>
  <c r="AB334" i="10" s="1"/>
  <c r="AC334" i="10" s="1"/>
  <c r="AB333" i="10"/>
  <c r="AC333" i="10" s="1"/>
  <c r="AA333" i="10"/>
  <c r="AB332" i="10"/>
  <c r="AC332" i="10" s="1"/>
  <c r="AA332" i="10"/>
  <c r="AB331" i="10"/>
  <c r="AC331" i="10" s="1"/>
  <c r="AA331" i="10"/>
  <c r="AB330" i="10"/>
  <c r="AC330" i="10" s="1"/>
  <c r="AA330" i="10"/>
  <c r="AA329" i="10"/>
  <c r="AB329" i="10" s="1"/>
  <c r="AC329" i="10" s="1"/>
  <c r="AB328" i="10"/>
  <c r="AC328" i="10" s="1"/>
  <c r="AA328" i="10"/>
  <c r="AB327" i="10"/>
  <c r="AC327" i="10" s="1"/>
  <c r="AA327" i="10"/>
  <c r="AA326" i="10"/>
  <c r="AB326" i="10" s="1"/>
  <c r="AC326" i="10" s="1"/>
  <c r="AA325" i="10"/>
  <c r="AB325" i="10" s="1"/>
  <c r="AC325" i="10" s="1"/>
  <c r="AB324" i="10"/>
  <c r="AC324" i="10" s="1"/>
  <c r="AA324" i="10"/>
  <c r="AB323" i="10"/>
  <c r="AC323" i="10" s="1"/>
  <c r="AA323" i="10"/>
  <c r="AA322" i="10"/>
  <c r="AB322" i="10" s="1"/>
  <c r="AC322" i="10" s="1"/>
  <c r="AA321" i="10"/>
  <c r="AB321" i="10" s="1"/>
  <c r="AC321" i="10" s="1"/>
  <c r="AB320" i="10"/>
  <c r="AC320" i="10" s="1"/>
  <c r="AA320" i="10"/>
  <c r="AB319" i="10"/>
  <c r="AC319" i="10" s="1"/>
  <c r="AA319" i="10"/>
  <c r="AB318" i="10"/>
  <c r="AC318" i="10" s="1"/>
  <c r="AA318" i="10"/>
  <c r="AA317" i="10"/>
  <c r="AB317" i="10" s="1"/>
  <c r="AC317" i="10" s="1"/>
  <c r="AA316" i="10"/>
  <c r="AB316" i="10" s="1"/>
  <c r="AC316" i="10" s="1"/>
  <c r="AB315" i="10"/>
  <c r="AC315" i="10" s="1"/>
  <c r="AA315" i="10"/>
  <c r="AB314" i="10"/>
  <c r="AC314" i="10" s="1"/>
  <c r="AA314" i="10"/>
  <c r="AA313" i="10"/>
  <c r="AB313" i="10" s="1"/>
  <c r="AC313" i="10" s="1"/>
  <c r="AB312" i="10"/>
  <c r="AC312" i="10" s="1"/>
  <c r="AA312" i="10"/>
  <c r="AA311" i="10"/>
  <c r="AB311" i="10" s="1"/>
  <c r="AC311" i="10" s="1"/>
  <c r="AB310" i="10"/>
  <c r="AC310" i="10" s="1"/>
  <c r="AA310" i="10"/>
  <c r="AB309" i="10"/>
  <c r="AC309" i="10" s="1"/>
  <c r="AA309" i="10"/>
  <c r="AA308" i="10"/>
  <c r="AB308" i="10" s="1"/>
  <c r="AC308" i="10" s="1"/>
  <c r="AA307" i="10"/>
  <c r="AB307" i="10" s="1"/>
  <c r="AC307" i="10" s="1"/>
  <c r="AB306" i="10"/>
  <c r="AC306" i="10" s="1"/>
  <c r="AA306" i="10"/>
  <c r="AA305" i="10"/>
  <c r="AB305" i="10" s="1"/>
  <c r="AC305" i="10" s="1"/>
  <c r="AB304" i="10"/>
  <c r="AC304" i="10" s="1"/>
  <c r="AA304" i="10"/>
  <c r="AA303" i="10"/>
  <c r="AB303" i="10" s="1"/>
  <c r="AC303" i="10" s="1"/>
  <c r="AB302" i="10"/>
  <c r="AC302" i="10" s="1"/>
  <c r="AA302" i="10"/>
  <c r="AB301" i="10"/>
  <c r="AC301" i="10" s="1"/>
  <c r="AA301" i="10"/>
  <c r="AA300" i="10"/>
  <c r="AB300" i="10" s="1"/>
  <c r="AC300" i="10" s="1"/>
  <c r="AA299" i="10"/>
  <c r="AB299" i="10" s="1"/>
  <c r="AC299" i="10" s="1"/>
  <c r="AB298" i="10"/>
  <c r="AC298" i="10" s="1"/>
  <c r="AA298" i="10"/>
  <c r="AA297" i="10"/>
  <c r="AB297" i="10" s="1"/>
  <c r="AC297" i="10" s="1"/>
  <c r="AB296" i="10"/>
  <c r="AC296" i="10" s="1"/>
  <c r="AA296" i="10"/>
  <c r="AA295" i="10"/>
  <c r="AB295" i="10" s="1"/>
  <c r="AC295" i="10" s="1"/>
  <c r="AA294" i="10"/>
  <c r="AB294" i="10" s="1"/>
  <c r="AC294" i="10" s="1"/>
  <c r="AB293" i="10"/>
  <c r="AC293" i="10" s="1"/>
  <c r="AA293" i="10"/>
  <c r="AB292" i="10"/>
  <c r="AC292" i="10" s="1"/>
  <c r="AA292" i="10"/>
  <c r="AA291" i="10"/>
  <c r="AB291" i="10" s="1"/>
  <c r="AC291" i="10" s="1"/>
  <c r="AB290" i="10"/>
  <c r="AC290" i="10" s="1"/>
  <c r="AA290" i="10"/>
  <c r="AA289" i="10"/>
  <c r="AB289" i="10" s="1"/>
  <c r="AC289" i="10" s="1"/>
  <c r="AB288" i="10"/>
  <c r="AC288" i="10" s="1"/>
  <c r="AA288" i="10"/>
  <c r="AB287" i="10"/>
  <c r="AC287" i="10" s="1"/>
  <c r="AA287" i="10"/>
  <c r="AA286" i="10"/>
  <c r="AB286" i="10" s="1"/>
  <c r="AC286" i="10" s="1"/>
  <c r="AB285" i="10"/>
  <c r="AC285" i="10" s="1"/>
  <c r="AA285" i="10"/>
  <c r="AB284" i="10"/>
  <c r="AC284" i="10" s="1"/>
  <c r="AA284" i="10"/>
  <c r="AB283" i="10"/>
  <c r="AC283" i="10" s="1"/>
  <c r="AA283" i="10"/>
  <c r="AA282" i="10"/>
  <c r="AB282" i="10" s="1"/>
  <c r="AC282" i="10" s="1"/>
  <c r="AA281" i="10"/>
  <c r="AB281" i="10" s="1"/>
  <c r="AC281" i="10" s="1"/>
  <c r="AB280" i="10"/>
  <c r="AC280" i="10" s="1"/>
  <c r="AA280" i="10"/>
  <c r="AA279" i="10"/>
  <c r="AB279" i="10" s="1"/>
  <c r="AC279" i="10" s="1"/>
  <c r="AA278" i="10"/>
  <c r="AB278" i="10" s="1"/>
  <c r="AC278" i="10" s="1"/>
  <c r="AA277" i="10"/>
  <c r="AB277" i="10" s="1"/>
  <c r="AC277" i="10" s="1"/>
  <c r="AB276" i="10"/>
  <c r="AC276" i="10" s="1"/>
  <c r="AA276" i="10"/>
  <c r="AB275" i="10"/>
  <c r="AC275" i="10" s="1"/>
  <c r="AA275" i="10"/>
  <c r="AA274" i="10"/>
  <c r="AB274" i="10" s="1"/>
  <c r="AC274" i="10" s="1"/>
  <c r="AB273" i="10"/>
  <c r="AC273" i="10" s="1"/>
  <c r="AA273" i="10"/>
  <c r="AA272" i="10"/>
  <c r="AB272" i="10" s="1"/>
  <c r="AC272" i="10" s="1"/>
  <c r="AB271" i="10"/>
  <c r="AC271" i="10" s="1"/>
  <c r="AA271" i="10"/>
  <c r="AB270" i="10"/>
  <c r="AC270" i="10" s="1"/>
  <c r="AA270" i="10"/>
  <c r="AA269" i="10"/>
  <c r="AB269" i="10" s="1"/>
  <c r="AC269" i="10" s="1"/>
  <c r="AA268" i="10"/>
  <c r="AB268" i="10" s="1"/>
  <c r="AC268" i="10" s="1"/>
  <c r="AB267" i="10"/>
  <c r="AC267" i="10" s="1"/>
  <c r="AA267" i="10"/>
  <c r="AA266" i="10"/>
  <c r="AB266" i="10" s="1"/>
  <c r="AC266" i="10" s="1"/>
  <c r="AA265" i="10"/>
  <c r="AB265" i="10" s="1"/>
  <c r="AC265" i="10" s="1"/>
  <c r="AB264" i="10"/>
  <c r="AC264" i="10" s="1"/>
  <c r="AA264" i="10"/>
  <c r="AA263" i="10"/>
  <c r="AB263" i="10" s="1"/>
  <c r="AC263" i="10" s="1"/>
  <c r="AA262" i="10"/>
  <c r="AB262" i="10" s="1"/>
  <c r="AC262" i="10" s="1"/>
  <c r="AB261" i="10"/>
  <c r="AC261" i="10" s="1"/>
  <c r="AA261" i="10"/>
  <c r="AB260" i="10"/>
  <c r="AC260" i="10" s="1"/>
  <c r="AA260" i="10"/>
  <c r="AA259" i="10"/>
  <c r="AB259" i="10" s="1"/>
  <c r="AC259" i="10" s="1"/>
  <c r="AB258" i="10"/>
  <c r="AC258" i="10" s="1"/>
  <c r="AA258" i="10"/>
  <c r="AA257" i="10"/>
  <c r="AB257" i="10" s="1"/>
  <c r="AC257" i="10" s="1"/>
  <c r="AA256" i="10"/>
  <c r="AB256" i="10" s="1"/>
  <c r="AC256" i="10" s="1"/>
  <c r="AA255" i="10"/>
  <c r="AB255" i="10" s="1"/>
  <c r="AC255" i="10" s="1"/>
  <c r="AB254" i="10"/>
  <c r="AC254" i="10" s="1"/>
  <c r="AA254" i="10"/>
  <c r="AA253" i="10"/>
  <c r="AB253" i="10" s="1"/>
  <c r="AC253" i="10" s="1"/>
  <c r="AA252" i="10"/>
  <c r="AB252" i="10" s="1"/>
  <c r="AC252" i="10" s="1"/>
  <c r="AB251" i="10"/>
  <c r="AC251" i="10" s="1"/>
  <c r="AA251" i="10"/>
  <c r="AA250" i="10"/>
  <c r="AB250" i="10" s="1"/>
  <c r="AC250" i="10" s="1"/>
  <c r="AB249" i="10"/>
  <c r="AC249" i="10" s="1"/>
  <c r="AA249" i="10"/>
  <c r="AB248" i="10"/>
  <c r="AC248" i="10" s="1"/>
  <c r="AA248" i="10"/>
  <c r="AA247" i="10"/>
  <c r="AB247" i="10" s="1"/>
  <c r="AC247" i="10" s="1"/>
  <c r="AB246" i="10"/>
  <c r="AC246" i="10" s="1"/>
  <c r="AA246" i="10"/>
  <c r="AA245" i="10"/>
  <c r="AB245" i="10" s="1"/>
  <c r="AC245" i="10" s="1"/>
  <c r="AB244" i="10"/>
  <c r="AC244" i="10" s="1"/>
  <c r="AA244" i="10"/>
  <c r="AA243" i="10"/>
  <c r="AB243" i="10" s="1"/>
  <c r="AC243" i="10" s="1"/>
  <c r="AB242" i="10"/>
  <c r="AC242" i="10" s="1"/>
  <c r="AA242" i="10"/>
  <c r="AA241" i="10"/>
  <c r="AB241" i="10" s="1"/>
  <c r="AC241" i="10" s="1"/>
  <c r="AB240" i="10"/>
  <c r="AC240" i="10" s="1"/>
  <c r="AA240" i="10"/>
  <c r="AB239" i="10"/>
  <c r="AC239" i="10" s="1"/>
  <c r="AA239" i="10"/>
  <c r="AB238" i="10"/>
  <c r="AC238" i="10" s="1"/>
  <c r="AA238" i="10"/>
  <c r="AA237" i="10"/>
  <c r="AB237" i="10" s="1"/>
  <c r="AC237" i="10" s="1"/>
  <c r="AB236" i="10"/>
  <c r="AC236" i="10" s="1"/>
  <c r="AA236" i="10"/>
  <c r="AB235" i="10"/>
  <c r="AC235" i="10" s="1"/>
  <c r="AA235" i="10"/>
  <c r="AA234" i="10"/>
  <c r="AB234" i="10" s="1"/>
  <c r="AC234" i="10" s="1"/>
  <c r="AA233" i="10"/>
  <c r="AB233" i="10" s="1"/>
  <c r="AC233" i="10" s="1"/>
  <c r="AB232" i="10"/>
  <c r="AC232" i="10" s="1"/>
  <c r="AA232" i="10"/>
  <c r="AA231" i="10"/>
  <c r="AB231" i="10" s="1"/>
  <c r="AC231" i="10" s="1"/>
  <c r="AB230" i="10"/>
  <c r="AC230" i="10" s="1"/>
  <c r="AA230" i="10"/>
  <c r="AB229" i="10"/>
  <c r="AC229" i="10" s="1"/>
  <c r="AA229" i="10"/>
  <c r="AA228" i="10"/>
  <c r="AB228" i="10" s="1"/>
  <c r="AC228" i="10" s="1"/>
  <c r="AA227" i="10"/>
  <c r="AB227" i="10" s="1"/>
  <c r="AC227" i="10" s="1"/>
  <c r="AA226" i="10"/>
  <c r="AB226" i="10" s="1"/>
  <c r="AC226" i="10" s="1"/>
  <c r="AA225" i="10"/>
  <c r="AB225" i="10" s="1"/>
  <c r="AC225" i="10" s="1"/>
  <c r="AB224" i="10"/>
  <c r="AC224" i="10" s="1"/>
  <c r="AA224" i="10"/>
  <c r="AA223" i="10"/>
  <c r="AB223" i="10" s="1"/>
  <c r="AC223" i="10" s="1"/>
  <c r="AA222" i="10"/>
  <c r="AB222" i="10" s="1"/>
  <c r="AC222" i="10" s="1"/>
  <c r="AA221" i="10"/>
  <c r="AB221" i="10" s="1"/>
  <c r="AC221" i="10" s="1"/>
  <c r="AA220" i="10"/>
  <c r="AB220" i="10" s="1"/>
  <c r="AC220" i="10" s="1"/>
  <c r="AB219" i="10"/>
  <c r="AC219" i="10" s="1"/>
  <c r="AA219" i="10"/>
  <c r="AB218" i="10"/>
  <c r="AC218" i="10" s="1"/>
  <c r="AA218" i="10"/>
  <c r="AA217" i="10"/>
  <c r="AB217" i="10" s="1"/>
  <c r="AC217" i="10" s="1"/>
  <c r="AB216" i="10"/>
  <c r="AC216" i="10" s="1"/>
  <c r="AA216" i="10"/>
  <c r="AA215" i="10"/>
  <c r="AB215" i="10" s="1"/>
  <c r="AC215" i="10" s="1"/>
  <c r="AB214" i="10"/>
  <c r="AC214" i="10" s="1"/>
  <c r="AA214" i="10"/>
  <c r="AA213" i="10"/>
  <c r="AB213" i="10" s="1"/>
  <c r="AC213" i="10" s="1"/>
  <c r="AB212" i="10"/>
  <c r="AC212" i="10" s="1"/>
  <c r="AA212" i="10"/>
  <c r="AA211" i="10"/>
  <c r="AB211" i="10" s="1"/>
  <c r="AC211" i="10" s="1"/>
  <c r="AA210" i="10"/>
  <c r="AB210" i="10" s="1"/>
  <c r="AC210" i="10" s="1"/>
  <c r="AB209" i="10"/>
  <c r="AC209" i="10" s="1"/>
  <c r="AA209" i="10"/>
  <c r="AA208" i="10"/>
  <c r="AB208" i="10" s="1"/>
  <c r="AC208" i="10" s="1"/>
  <c r="AA207" i="10"/>
  <c r="AB207" i="10" s="1"/>
  <c r="AC207" i="10" s="1"/>
  <c r="AA206" i="10"/>
  <c r="AB206" i="10" s="1"/>
  <c r="AC206" i="10" s="1"/>
  <c r="AA205" i="10"/>
  <c r="AB205" i="10" s="1"/>
  <c r="AC205" i="10" s="1"/>
  <c r="AA204" i="10"/>
  <c r="AB204" i="10" s="1"/>
  <c r="AC204" i="10" s="1"/>
  <c r="AB203" i="10"/>
  <c r="AC203" i="10" s="1"/>
  <c r="AA203" i="10"/>
  <c r="AA202" i="10"/>
  <c r="AB202" i="10" s="1"/>
  <c r="AC202" i="10" s="1"/>
  <c r="AB201" i="10"/>
  <c r="AC201" i="10" s="1"/>
  <c r="AA201" i="10"/>
  <c r="AA200" i="10"/>
  <c r="AB200" i="10" s="1"/>
  <c r="AC200" i="10" s="1"/>
  <c r="AA199" i="10"/>
  <c r="AB199" i="10" s="1"/>
  <c r="AC199" i="10" s="1"/>
  <c r="AA198" i="10"/>
  <c r="AB198" i="10" s="1"/>
  <c r="AC198" i="10" s="1"/>
  <c r="AA197" i="10"/>
  <c r="AB197" i="10" s="1"/>
  <c r="AC197" i="10" s="1"/>
  <c r="AB196" i="10"/>
  <c r="AC196" i="10" s="1"/>
  <c r="AA196" i="10"/>
  <c r="AA195" i="10"/>
  <c r="AB195" i="10" s="1"/>
  <c r="AC195" i="10" s="1"/>
  <c r="AB194" i="10"/>
  <c r="AC194" i="10" s="1"/>
  <c r="AA194" i="10"/>
  <c r="AB193" i="10"/>
  <c r="AC193" i="10" s="1"/>
  <c r="AA193" i="10"/>
  <c r="AB192" i="10"/>
  <c r="AC192" i="10" s="1"/>
  <c r="AA192" i="10"/>
  <c r="AA191" i="10"/>
  <c r="AB191" i="10" s="1"/>
  <c r="AC191" i="10" s="1"/>
  <c r="AA190" i="10"/>
  <c r="AB190" i="10" s="1"/>
  <c r="AC190" i="10" s="1"/>
  <c r="AC189" i="10"/>
  <c r="AA189" i="10"/>
  <c r="AB189" i="10" s="1"/>
  <c r="AB188" i="10"/>
  <c r="AC188" i="10" s="1"/>
  <c r="AA188" i="10"/>
  <c r="AB187" i="10"/>
  <c r="AC187" i="10" s="1"/>
  <c r="AA187" i="10"/>
  <c r="AA186" i="10"/>
  <c r="AB186" i="10" s="1"/>
  <c r="AC186" i="10" s="1"/>
  <c r="AB185" i="10"/>
  <c r="AC185" i="10" s="1"/>
  <c r="AA185" i="10"/>
  <c r="AA184" i="10"/>
  <c r="AB184" i="10" s="1"/>
  <c r="AC184" i="10" s="1"/>
  <c r="AB183" i="10"/>
  <c r="AC183" i="10" s="1"/>
  <c r="AA183" i="10"/>
  <c r="AA182" i="10"/>
  <c r="AB182" i="10" s="1"/>
  <c r="AC182" i="10" s="1"/>
  <c r="AB181" i="10"/>
  <c r="AC181" i="10" s="1"/>
  <c r="AA181" i="10"/>
  <c r="AA180" i="10"/>
  <c r="AB180" i="10" s="1"/>
  <c r="AC180" i="10" s="1"/>
  <c r="AA179" i="10"/>
  <c r="AB179" i="10" s="1"/>
  <c r="AC179" i="10" s="1"/>
  <c r="AA178" i="10"/>
  <c r="AB178" i="10" s="1"/>
  <c r="AC178" i="10" s="1"/>
  <c r="AA177" i="10"/>
  <c r="AB177" i="10" s="1"/>
  <c r="AC177" i="10" s="1"/>
  <c r="AA176" i="10"/>
  <c r="AB176" i="10" s="1"/>
  <c r="AC176" i="10" s="1"/>
  <c r="AA175" i="10"/>
  <c r="AB175" i="10" s="1"/>
  <c r="AC175" i="10" s="1"/>
  <c r="AB174" i="10"/>
  <c r="AC174" i="10" s="1"/>
  <c r="AA174" i="10"/>
  <c r="AA173" i="10"/>
  <c r="AB173" i="10" s="1"/>
  <c r="AC173" i="10" s="1"/>
  <c r="AA172" i="10"/>
  <c r="AB172" i="10" s="1"/>
  <c r="AC172" i="10" s="1"/>
  <c r="AA171" i="10"/>
  <c r="AB171" i="10" s="1"/>
  <c r="AC171" i="10" s="1"/>
  <c r="AB170" i="10"/>
  <c r="AC170" i="10" s="1"/>
  <c r="AA170" i="10"/>
  <c r="AA169" i="10"/>
  <c r="AB169" i="10" s="1"/>
  <c r="AC169" i="10" s="1"/>
  <c r="AA168" i="10"/>
  <c r="AB168" i="10" s="1"/>
  <c r="AC168" i="10" s="1"/>
  <c r="AA167" i="10"/>
  <c r="AB167" i="10" s="1"/>
  <c r="AC167" i="10" s="1"/>
  <c r="AA166" i="10"/>
  <c r="AB166" i="10" s="1"/>
  <c r="AC166" i="10" s="1"/>
  <c r="AA165" i="10"/>
  <c r="AB165" i="10" s="1"/>
  <c r="AC165" i="10" s="1"/>
  <c r="AB164" i="10"/>
  <c r="AC164" i="10" s="1"/>
  <c r="AA164" i="10"/>
  <c r="AB163" i="10"/>
  <c r="AC163" i="10" s="1"/>
  <c r="AA163" i="10"/>
  <c r="AA162" i="10"/>
  <c r="AB162" i="10" s="1"/>
  <c r="AC162" i="10" s="1"/>
  <c r="AB161" i="10"/>
  <c r="AC161" i="10" s="1"/>
  <c r="AA161" i="10"/>
  <c r="AB160" i="10"/>
  <c r="AC160" i="10" s="1"/>
  <c r="AA160" i="10"/>
  <c r="AA159" i="10"/>
  <c r="AB159" i="10" s="1"/>
  <c r="AC159" i="10" s="1"/>
  <c r="AA158" i="10"/>
  <c r="AB158" i="10" s="1"/>
  <c r="AC158" i="10" s="1"/>
  <c r="AA157" i="10"/>
  <c r="AB157" i="10" s="1"/>
  <c r="AC157" i="10" s="1"/>
  <c r="AA156" i="10"/>
  <c r="AB156" i="10" s="1"/>
  <c r="AC156" i="10" s="1"/>
  <c r="AB155" i="10"/>
  <c r="AC155" i="10" s="1"/>
  <c r="AA155" i="10"/>
  <c r="AA154" i="10"/>
  <c r="AB154" i="10" s="1"/>
  <c r="AC154" i="10" s="1"/>
  <c r="AA153" i="10"/>
  <c r="AB153" i="10" s="1"/>
  <c r="AC153" i="10" s="1"/>
  <c r="AB152" i="10"/>
  <c r="AC152" i="10" s="1"/>
  <c r="AA152" i="10"/>
  <c r="AA151" i="10"/>
  <c r="AB151" i="10" s="1"/>
  <c r="AC151" i="10" s="1"/>
  <c r="AB150" i="10"/>
  <c r="AC150" i="10" s="1"/>
  <c r="AA150" i="10"/>
  <c r="AB149" i="10"/>
  <c r="AC149" i="10" s="1"/>
  <c r="AA149" i="10"/>
  <c r="AB148" i="10"/>
  <c r="AC148" i="10" s="1"/>
  <c r="AA148" i="10"/>
  <c r="AA147" i="10"/>
  <c r="AB147" i="10" s="1"/>
  <c r="AC147" i="10" s="1"/>
  <c r="AA146" i="10"/>
  <c r="AB146" i="10" s="1"/>
  <c r="AC146" i="10" s="1"/>
  <c r="AB145" i="10"/>
  <c r="AC145" i="10" s="1"/>
  <c r="AA145" i="10"/>
  <c r="AB144" i="10"/>
  <c r="AC144" i="10" s="1"/>
  <c r="AA144" i="10"/>
  <c r="AB143" i="10"/>
  <c r="AC143" i="10" s="1"/>
  <c r="AA143" i="10"/>
  <c r="AA142" i="10"/>
  <c r="AB142" i="10" s="1"/>
  <c r="AC142" i="10" s="1"/>
  <c r="AB141" i="10"/>
  <c r="AC141" i="10" s="1"/>
  <c r="AA141" i="10"/>
  <c r="AA140" i="10"/>
  <c r="AB140" i="10" s="1"/>
  <c r="AC140" i="10" s="1"/>
  <c r="AA139" i="10"/>
  <c r="AB139" i="10" s="1"/>
  <c r="AC139" i="10" s="1"/>
  <c r="AA138" i="10"/>
  <c r="AB138" i="10" s="1"/>
  <c r="AC138" i="10" s="1"/>
  <c r="AA137" i="10"/>
  <c r="AB137" i="10" s="1"/>
  <c r="AC137" i="10" s="1"/>
  <c r="AA136" i="10"/>
  <c r="AB136" i="10" s="1"/>
  <c r="AC136" i="10" s="1"/>
  <c r="AA135" i="10"/>
  <c r="AB135" i="10" s="1"/>
  <c r="AC135" i="10" s="1"/>
  <c r="AA134" i="10"/>
  <c r="AB134" i="10" s="1"/>
  <c r="AC134" i="10" s="1"/>
  <c r="AA133" i="10"/>
  <c r="AB133" i="10" s="1"/>
  <c r="AC133" i="10" s="1"/>
  <c r="AB132" i="10"/>
  <c r="AC132" i="10" s="1"/>
  <c r="AA132" i="10"/>
  <c r="AA131" i="10"/>
  <c r="AB131" i="10" s="1"/>
  <c r="AC131" i="10" s="1"/>
  <c r="AB130" i="10"/>
  <c r="AC130" i="10" s="1"/>
  <c r="AA130" i="10"/>
  <c r="AA129" i="10"/>
  <c r="AB129" i="10" s="1"/>
  <c r="AC129" i="10" s="1"/>
  <c r="AA128" i="10"/>
  <c r="AB128" i="10" s="1"/>
  <c r="AC128" i="10" s="1"/>
  <c r="AB127" i="10"/>
  <c r="AC127" i="10" s="1"/>
  <c r="AA127" i="10"/>
  <c r="AA126" i="10"/>
  <c r="AB126" i="10" s="1"/>
  <c r="AC126" i="10" s="1"/>
  <c r="AA125" i="10"/>
  <c r="AB125" i="10" s="1"/>
  <c r="AC125" i="10" s="1"/>
  <c r="AA124" i="10"/>
  <c r="AB124" i="10" s="1"/>
  <c r="AC124" i="10" s="1"/>
  <c r="AB123" i="10"/>
  <c r="AC123" i="10" s="1"/>
  <c r="AA123" i="10"/>
  <c r="AB122" i="10"/>
  <c r="AC122" i="10" s="1"/>
  <c r="AA122" i="10"/>
  <c r="AA121" i="10"/>
  <c r="AB121" i="10" s="1"/>
  <c r="AC121" i="10" s="1"/>
  <c r="AB120" i="10"/>
  <c r="AC120" i="10" s="1"/>
  <c r="AA120" i="10"/>
  <c r="AB119" i="10"/>
  <c r="AC119" i="10" s="1"/>
  <c r="AA119" i="10"/>
  <c r="AA118" i="10"/>
  <c r="AB118" i="10" s="1"/>
  <c r="AC118" i="10" s="1"/>
  <c r="AB117" i="10"/>
  <c r="AC117" i="10" s="1"/>
  <c r="AA117" i="10"/>
  <c r="AB116" i="10"/>
  <c r="AC116" i="10" s="1"/>
  <c r="AA116" i="10"/>
  <c r="AB115" i="10"/>
  <c r="AC115" i="10" s="1"/>
  <c r="AA115" i="10"/>
  <c r="AA114" i="10"/>
  <c r="AB114" i="10" s="1"/>
  <c r="AC114" i="10" s="1"/>
  <c r="AA113" i="10"/>
  <c r="AB113" i="10" s="1"/>
  <c r="AC113" i="10" s="1"/>
  <c r="AA112" i="10"/>
  <c r="AB112" i="10" s="1"/>
  <c r="AC112" i="10" s="1"/>
  <c r="AA111" i="10"/>
  <c r="AB111" i="10" s="1"/>
  <c r="AC111" i="10" s="1"/>
  <c r="AA110" i="10"/>
  <c r="AB110" i="10" s="1"/>
  <c r="AC110" i="10" s="1"/>
  <c r="AA109" i="10"/>
  <c r="AB109" i="10" s="1"/>
  <c r="AC109" i="10" s="1"/>
  <c r="AA108" i="10"/>
  <c r="AB108" i="10" s="1"/>
  <c r="AC108" i="10" s="1"/>
  <c r="AA107" i="10"/>
  <c r="AB107" i="10" s="1"/>
  <c r="AC107" i="10" s="1"/>
  <c r="AA106" i="10"/>
  <c r="AB106" i="10" s="1"/>
  <c r="AC106" i="10" s="1"/>
  <c r="AA105" i="10"/>
  <c r="AB105" i="10" s="1"/>
  <c r="AC105" i="10" s="1"/>
  <c r="AA104" i="10"/>
  <c r="AB104" i="10" s="1"/>
  <c r="AC104" i="10" s="1"/>
  <c r="AA103" i="10"/>
  <c r="AB103" i="10" s="1"/>
  <c r="AC103" i="10" s="1"/>
  <c r="AA102" i="10"/>
  <c r="AB102" i="10" s="1"/>
  <c r="AC102" i="10" s="1"/>
  <c r="AA101" i="10"/>
  <c r="AA100" i="10"/>
  <c r="AA99" i="10"/>
  <c r="AA98" i="10"/>
  <c r="AB98" i="10" s="1"/>
  <c r="AC98" i="10" s="1"/>
  <c r="AA97" i="10"/>
  <c r="AA96" i="10"/>
  <c r="AA95" i="10"/>
  <c r="AA94" i="10"/>
  <c r="AA93" i="10"/>
  <c r="AB93" i="10" s="1"/>
  <c r="AC93" i="10" s="1"/>
  <c r="AA92" i="10"/>
  <c r="AB92" i="10" s="1"/>
  <c r="AC92" i="10" s="1"/>
  <c r="AA91" i="10"/>
  <c r="AB91" i="10" s="1"/>
  <c r="AC91" i="10" s="1"/>
  <c r="AA90" i="10"/>
  <c r="AB90" i="10" s="1"/>
  <c r="AC90" i="10" s="1"/>
  <c r="AA89" i="10"/>
  <c r="AB89" i="10" s="1"/>
  <c r="AC89" i="10" s="1"/>
  <c r="AA88" i="10"/>
  <c r="AA87" i="10"/>
  <c r="AB87" i="10" s="1"/>
  <c r="AC87" i="10" s="1"/>
  <c r="AA86" i="10"/>
  <c r="AB86" i="10" s="1"/>
  <c r="AC86" i="10" s="1"/>
  <c r="AA85" i="10"/>
  <c r="AB85" i="10" s="1"/>
  <c r="AC85" i="10" s="1"/>
  <c r="AA84" i="10"/>
  <c r="AB84" i="10" s="1"/>
  <c r="AC84" i="10" s="1"/>
  <c r="AA83" i="10"/>
  <c r="AA82" i="10"/>
  <c r="AB82" i="10" s="1"/>
  <c r="AC82" i="10" s="1"/>
  <c r="AA81" i="10"/>
  <c r="AB81" i="10" s="1"/>
  <c r="AC81" i="10" s="1"/>
  <c r="AA80" i="10"/>
  <c r="AB80" i="10" s="1"/>
  <c r="AA79" i="10"/>
  <c r="AB79" i="10" s="1"/>
  <c r="AC79" i="10" s="1"/>
  <c r="AA78" i="10"/>
  <c r="AB78" i="10" s="1"/>
  <c r="AC78" i="10" s="1"/>
  <c r="AA77" i="10"/>
  <c r="AB77" i="10" s="1"/>
  <c r="AC77" i="10" s="1"/>
  <c r="AA76" i="10"/>
  <c r="AB76" i="10" s="1"/>
  <c r="AC76" i="10" s="1"/>
  <c r="AA75" i="10"/>
  <c r="AB75" i="10" s="1"/>
  <c r="AC75" i="10" s="1"/>
  <c r="AA74" i="10"/>
  <c r="AB74" i="10" s="1"/>
  <c r="AC74" i="10" s="1"/>
  <c r="AA73" i="10"/>
  <c r="AB73" i="10" s="1"/>
  <c r="AC73" i="10" s="1"/>
  <c r="AA72" i="10"/>
  <c r="AB72" i="10" s="1"/>
  <c r="AC72" i="10" s="1"/>
  <c r="AA71" i="10"/>
  <c r="AB71" i="10" s="1"/>
  <c r="AC71" i="10" s="1"/>
  <c r="AA70" i="10"/>
  <c r="AA69" i="10"/>
  <c r="AA68" i="10"/>
  <c r="AB68" i="10" s="1"/>
  <c r="AC68" i="10" s="1"/>
  <c r="AC67" i="10"/>
  <c r="AB67" i="10"/>
  <c r="AA67" i="10"/>
  <c r="AC66" i="10"/>
  <c r="AB66" i="10"/>
  <c r="AA66" i="10"/>
  <c r="AB65" i="10"/>
  <c r="AC65" i="10" s="1"/>
  <c r="AA65" i="10"/>
  <c r="AB64" i="10"/>
  <c r="AC64" i="10" s="1"/>
  <c r="AA64" i="10"/>
  <c r="AC63" i="10"/>
  <c r="AB63" i="10"/>
  <c r="AA63" i="10"/>
  <c r="AC62" i="10"/>
  <c r="AB62" i="10"/>
  <c r="AA62" i="10"/>
  <c r="AC61" i="10"/>
  <c r="AA61" i="10"/>
  <c r="AB61" i="10" s="1"/>
  <c r="AA60" i="10"/>
  <c r="AB60" i="10" s="1"/>
  <c r="AC60" i="10" s="1"/>
  <c r="AA59" i="10"/>
  <c r="AB59" i="10" s="1"/>
  <c r="AC59" i="10" s="1"/>
  <c r="AB58" i="10"/>
  <c r="AC58" i="10" s="1"/>
  <c r="AA58" i="10"/>
  <c r="AA57" i="10"/>
  <c r="AA56" i="10"/>
  <c r="AA55" i="10"/>
  <c r="AA54" i="10"/>
  <c r="AC53" i="10"/>
  <c r="AB53" i="10"/>
  <c r="AA53" i="10"/>
  <c r="AA52" i="10"/>
  <c r="AA51" i="10"/>
  <c r="AB51" i="10" s="1"/>
  <c r="AC51" i="10" s="1"/>
  <c r="AA50" i="10"/>
  <c r="AB50" i="10" s="1"/>
  <c r="AC50" i="10" s="1"/>
  <c r="AA49" i="10"/>
  <c r="AA48" i="10"/>
  <c r="AB48" i="10" s="1"/>
  <c r="AC48" i="10" s="1"/>
  <c r="AA47" i="10"/>
  <c r="AB46" i="10"/>
  <c r="AC46" i="10" s="1"/>
  <c r="AA46" i="10"/>
  <c r="AA45" i="10"/>
  <c r="AB45" i="10" s="1"/>
  <c r="AC45" i="10" s="1"/>
  <c r="AA44" i="10"/>
  <c r="AA43" i="10"/>
  <c r="AB42" i="10"/>
  <c r="AC42" i="10" s="1"/>
  <c r="AA42" i="10"/>
  <c r="AA41" i="10"/>
  <c r="AA40" i="10"/>
  <c r="AB40" i="10" s="1"/>
  <c r="AC39" i="10"/>
  <c r="AB39" i="10"/>
  <c r="AA39" i="10"/>
  <c r="AA38" i="10"/>
  <c r="AB38" i="10" s="1"/>
  <c r="AC38" i="10" s="1"/>
  <c r="AA37" i="10"/>
  <c r="AB37" i="10" s="1"/>
  <c r="AC37" i="10" s="1"/>
  <c r="AB36" i="10"/>
  <c r="AC36" i="10" s="1"/>
  <c r="AA36" i="10"/>
  <c r="AA35" i="10"/>
  <c r="AA34" i="10"/>
  <c r="AA33" i="10"/>
  <c r="AB33" i="10" s="1"/>
  <c r="AC33" i="10" s="1"/>
  <c r="AA32" i="10"/>
  <c r="AB32" i="10" s="1"/>
  <c r="AC32" i="10" s="1"/>
  <c r="AA31" i="10"/>
  <c r="AA30" i="10"/>
  <c r="AB30" i="10" s="1"/>
  <c r="AC30" i="10" s="1"/>
  <c r="AA29" i="10"/>
  <c r="AB29" i="10" s="1"/>
  <c r="AC29" i="10" s="1"/>
  <c r="AA28" i="10"/>
  <c r="AB28" i="10" s="1"/>
  <c r="AC28" i="10" s="1"/>
  <c r="AC27" i="10"/>
  <c r="AB27" i="10"/>
  <c r="AA27" i="10"/>
  <c r="AA26" i="10"/>
  <c r="AB26" i="10" s="1"/>
  <c r="AC26" i="10" s="1"/>
  <c r="AB25" i="10"/>
  <c r="AC25" i="10" s="1"/>
  <c r="AA25" i="10"/>
  <c r="AA24" i="10"/>
  <c r="AB24" i="10" s="1"/>
  <c r="AC24" i="10" s="1"/>
  <c r="AC23" i="10"/>
  <c r="AB23" i="10"/>
  <c r="AA23" i="10"/>
  <c r="AA22" i="10"/>
  <c r="AB22" i="10" s="1"/>
  <c r="AC22" i="10" s="1"/>
  <c r="AB21" i="10"/>
  <c r="AC21" i="10" s="1"/>
  <c r="AA21" i="10"/>
  <c r="AB20" i="10"/>
  <c r="AC20" i="10" s="1"/>
  <c r="AA20" i="10"/>
  <c r="AC19" i="10"/>
  <c r="AA19" i="10"/>
  <c r="AB19" i="10" s="1"/>
  <c r="AA18" i="10"/>
  <c r="AB18" i="10" s="1"/>
  <c r="AC18" i="10" s="1"/>
  <c r="AB17" i="10"/>
  <c r="AC17" i="10" s="1"/>
  <c r="AA17" i="10"/>
  <c r="AB16" i="10"/>
  <c r="AA16" i="10"/>
  <c r="AA15" i="10"/>
  <c r="AB14" i="10"/>
  <c r="AC14" i="10" s="1"/>
  <c r="AA14" i="10"/>
  <c r="AA13" i="10"/>
  <c r="AB13" i="10" s="1"/>
  <c r="AC13" i="10" s="1"/>
  <c r="AA12" i="10"/>
  <c r="AB12" i="10" s="1"/>
  <c r="AC12" i="10" s="1"/>
  <c r="AA11" i="10"/>
  <c r="AB11" i="10" s="1"/>
  <c r="AC11" i="10" s="1"/>
  <c r="AC10" i="10"/>
  <c r="AB10" i="10"/>
  <c r="AA10" i="10"/>
  <c r="AC9" i="10"/>
  <c r="AB9" i="10"/>
  <c r="AA9" i="10"/>
  <c r="AC8" i="10"/>
  <c r="AA8" i="10"/>
  <c r="AB8" i="10" s="1"/>
  <c r="AB7" i="10"/>
  <c r="AC7" i="10" s="1"/>
  <c r="AA7" i="10"/>
  <c r="AA6" i="10"/>
  <c r="AC5" i="10"/>
  <c r="AA5" i="10"/>
  <c r="AB5" i="10" s="1"/>
  <c r="AA4" i="10"/>
  <c r="AB4" i="10" s="1"/>
  <c r="AC4" i="10" s="1"/>
  <c r="AB3" i="10"/>
  <c r="AC3" i="10" s="1"/>
  <c r="AA3" i="10"/>
  <c r="AA2" i="10"/>
  <c r="AB2" i="10" s="1"/>
  <c r="AC2" i="10" s="1"/>
  <c r="AA1" i="10"/>
  <c r="AA387" i="9"/>
  <c r="AA386" i="9"/>
  <c r="AA385" i="9"/>
  <c r="AA384" i="9"/>
  <c r="AA383" i="9"/>
  <c r="AA382" i="9"/>
  <c r="AA381" i="9"/>
  <c r="AA380" i="9"/>
  <c r="AA379" i="9"/>
  <c r="AA378" i="9"/>
  <c r="AA377" i="9"/>
  <c r="AA376" i="9"/>
  <c r="AA375" i="9"/>
  <c r="AA374" i="9"/>
  <c r="AA373" i="9"/>
  <c r="AA372" i="9"/>
  <c r="AA371" i="9"/>
  <c r="AA370" i="9"/>
  <c r="AA369" i="9"/>
  <c r="AA368" i="9"/>
  <c r="AA367" i="9"/>
  <c r="AA366" i="9"/>
  <c r="AA365" i="9"/>
  <c r="AA364" i="9"/>
  <c r="AA363" i="9"/>
  <c r="AA362" i="9"/>
  <c r="AA361" i="9"/>
  <c r="AA360" i="9"/>
  <c r="AA359" i="9"/>
  <c r="AA358" i="9"/>
  <c r="AA357" i="9"/>
  <c r="AA356" i="9"/>
  <c r="AA355" i="9"/>
  <c r="AA354" i="9"/>
  <c r="AA353" i="9"/>
  <c r="AA352" i="9"/>
  <c r="AA351" i="9"/>
  <c r="AA350" i="9"/>
  <c r="AA349" i="9"/>
  <c r="AA348" i="9"/>
  <c r="AA347" i="9"/>
  <c r="AA346" i="9"/>
  <c r="AA345" i="9"/>
  <c r="AA344" i="9"/>
  <c r="AA343" i="9"/>
  <c r="AA342" i="9"/>
  <c r="AA341" i="9"/>
  <c r="AA340" i="9"/>
  <c r="AA339" i="9"/>
  <c r="AA338" i="9"/>
  <c r="AA337" i="9"/>
  <c r="AA336" i="9"/>
  <c r="AA335" i="9"/>
  <c r="AA334" i="9"/>
  <c r="AA333" i="9"/>
  <c r="AA332" i="9"/>
  <c r="AA331" i="9"/>
  <c r="AA330" i="9"/>
  <c r="AA329" i="9"/>
  <c r="AA328" i="9"/>
  <c r="AA327" i="9"/>
  <c r="AA326" i="9"/>
  <c r="AA325" i="9"/>
  <c r="AA324" i="9"/>
  <c r="AA323" i="9"/>
  <c r="AA322" i="9"/>
  <c r="AA321" i="9"/>
  <c r="AA320" i="9"/>
  <c r="AA319" i="9"/>
  <c r="AA318" i="9"/>
  <c r="AA317" i="9"/>
  <c r="AA316" i="9"/>
  <c r="AA315" i="9"/>
  <c r="AA314" i="9"/>
  <c r="AA313" i="9"/>
  <c r="AA312" i="9"/>
  <c r="AA311" i="9"/>
  <c r="AA310" i="9"/>
  <c r="AA309" i="9"/>
  <c r="AA308" i="9"/>
  <c r="AA307" i="9"/>
  <c r="AA306" i="9"/>
  <c r="AA305" i="9"/>
  <c r="AA304" i="9"/>
  <c r="AA303" i="9"/>
  <c r="AA302" i="9"/>
  <c r="AA301" i="9"/>
  <c r="AA300" i="9"/>
  <c r="AA299" i="9"/>
  <c r="AA298" i="9"/>
  <c r="AA297" i="9"/>
  <c r="AA296" i="9"/>
  <c r="AA295" i="9"/>
  <c r="AA294" i="9"/>
  <c r="AA293" i="9"/>
  <c r="AA292" i="9"/>
  <c r="AA291" i="9"/>
  <c r="AA290" i="9"/>
  <c r="AA289" i="9"/>
  <c r="AA288" i="9"/>
  <c r="AA287" i="9"/>
  <c r="AA286" i="9"/>
  <c r="AA285" i="9"/>
  <c r="AA284" i="9"/>
  <c r="AA283" i="9"/>
  <c r="AA282" i="9"/>
  <c r="AA281" i="9"/>
  <c r="AA280" i="9"/>
  <c r="AA279" i="9"/>
  <c r="AA278" i="9"/>
  <c r="AA277" i="9"/>
  <c r="AA276" i="9"/>
  <c r="AA275" i="9"/>
  <c r="AA274" i="9"/>
  <c r="AA273" i="9"/>
  <c r="AA272" i="9"/>
  <c r="AA271" i="9"/>
  <c r="AA270" i="9"/>
  <c r="AA269" i="9"/>
  <c r="AA268" i="9"/>
  <c r="AA267" i="9"/>
  <c r="AA266" i="9"/>
  <c r="AA265" i="9"/>
  <c r="AA264" i="9"/>
  <c r="AA263" i="9"/>
  <c r="AA262" i="9"/>
  <c r="AA261" i="9"/>
  <c r="AA260" i="9"/>
  <c r="AA259" i="9"/>
  <c r="AA258" i="9"/>
  <c r="AA257" i="9"/>
  <c r="AA256" i="9"/>
  <c r="AA255" i="9"/>
  <c r="AA254" i="9"/>
  <c r="AA253" i="9"/>
  <c r="AA252" i="9"/>
  <c r="AA251" i="9"/>
  <c r="AA250" i="9"/>
  <c r="AA249" i="9"/>
  <c r="AA248" i="9"/>
  <c r="AA247" i="9"/>
  <c r="AA246" i="9"/>
  <c r="AA245" i="9"/>
  <c r="AA244" i="9"/>
  <c r="AA243" i="9"/>
  <c r="AA242" i="9"/>
  <c r="AA241" i="9"/>
  <c r="AA240" i="9"/>
  <c r="AA239" i="9"/>
  <c r="AA238" i="9"/>
  <c r="AA237" i="9"/>
  <c r="AA236" i="9"/>
  <c r="AA235" i="9"/>
  <c r="AA234" i="9"/>
  <c r="AA233" i="9"/>
  <c r="AA232" i="9"/>
  <c r="AA231" i="9"/>
  <c r="AA230" i="9"/>
  <c r="AA229" i="9"/>
  <c r="AA228" i="9"/>
  <c r="AA227" i="9"/>
  <c r="AA226" i="9"/>
  <c r="AA225" i="9"/>
  <c r="AA224" i="9"/>
  <c r="AA223" i="9"/>
  <c r="AA222" i="9"/>
  <c r="AA221" i="9"/>
  <c r="AA220" i="9"/>
  <c r="AA219" i="9"/>
  <c r="AA218" i="9"/>
  <c r="AA217" i="9"/>
  <c r="AA216" i="9"/>
  <c r="AA215" i="9"/>
  <c r="AA214" i="9"/>
  <c r="AA213" i="9"/>
  <c r="AA212" i="9"/>
  <c r="AA211" i="9"/>
  <c r="AA210" i="9"/>
  <c r="AA209" i="9"/>
  <c r="AA208" i="9"/>
  <c r="AA207" i="9"/>
  <c r="AA206" i="9"/>
  <c r="AA205" i="9"/>
  <c r="AA204" i="9"/>
  <c r="AA203" i="9"/>
  <c r="D203" i="9"/>
  <c r="C203" i="9"/>
  <c r="AA202" i="9"/>
  <c r="D202" i="9"/>
  <c r="C202" i="9"/>
  <c r="AA201" i="9"/>
  <c r="D201" i="9"/>
  <c r="C201" i="9"/>
  <c r="AA200" i="9"/>
  <c r="D200" i="9"/>
  <c r="C200" i="9"/>
  <c r="AA199" i="9"/>
  <c r="D199" i="9"/>
  <c r="C199" i="9"/>
  <c r="AA198" i="9"/>
  <c r="D198" i="9"/>
  <c r="C198" i="9"/>
  <c r="AA197" i="9"/>
  <c r="D197" i="9"/>
  <c r="C197" i="9"/>
  <c r="AA196" i="9"/>
  <c r="D196" i="9"/>
  <c r="C196" i="9"/>
  <c r="AA195" i="9"/>
  <c r="D195" i="9"/>
  <c r="C195" i="9"/>
  <c r="AA194" i="9"/>
  <c r="D194" i="9"/>
  <c r="C194" i="9"/>
  <c r="AA193" i="9"/>
  <c r="D193" i="9"/>
  <c r="C193" i="9"/>
  <c r="AA192" i="9"/>
  <c r="D192" i="9"/>
  <c r="C192" i="9"/>
  <c r="AA191" i="9"/>
  <c r="D191" i="9"/>
  <c r="C191" i="9"/>
  <c r="AA190" i="9"/>
  <c r="D190" i="9"/>
  <c r="C190" i="9"/>
  <c r="AA189" i="9"/>
  <c r="D189" i="9"/>
  <c r="C189" i="9"/>
  <c r="AA188" i="9"/>
  <c r="D188" i="9"/>
  <c r="C188" i="9"/>
  <c r="AA187" i="9"/>
  <c r="D187" i="9"/>
  <c r="C187" i="9"/>
  <c r="AA186" i="9"/>
  <c r="D186" i="9"/>
  <c r="C186" i="9"/>
  <c r="AA185" i="9"/>
  <c r="D185" i="9"/>
  <c r="C185" i="9"/>
  <c r="AA184" i="9"/>
  <c r="D184" i="9"/>
  <c r="C184" i="9"/>
  <c r="AA183" i="9"/>
  <c r="D183" i="9"/>
  <c r="C183" i="9"/>
  <c r="AA182" i="9"/>
  <c r="D182" i="9"/>
  <c r="C182" i="9"/>
  <c r="AA181" i="9"/>
  <c r="D181" i="9"/>
  <c r="C181" i="9"/>
  <c r="AA180" i="9"/>
  <c r="D180" i="9"/>
  <c r="C180" i="9"/>
  <c r="AA179" i="9"/>
  <c r="D179" i="9"/>
  <c r="C179" i="9"/>
  <c r="AA178" i="9"/>
  <c r="D178" i="9"/>
  <c r="C178" i="9"/>
  <c r="AA177" i="9"/>
  <c r="D177" i="9"/>
  <c r="C177" i="9"/>
  <c r="AA176" i="9"/>
  <c r="D176" i="9"/>
  <c r="C176" i="9"/>
  <c r="AA175" i="9"/>
  <c r="D175" i="9"/>
  <c r="C175" i="9"/>
  <c r="AA174" i="9"/>
  <c r="D174" i="9"/>
  <c r="C174" i="9"/>
  <c r="AA173" i="9"/>
  <c r="D173" i="9"/>
  <c r="C173" i="9"/>
  <c r="AA172" i="9"/>
  <c r="D172" i="9"/>
  <c r="C172" i="9"/>
  <c r="AA171" i="9"/>
  <c r="D171" i="9"/>
  <c r="C171" i="9"/>
  <c r="AA170" i="9"/>
  <c r="D170" i="9"/>
  <c r="C170" i="9"/>
  <c r="AA169" i="9"/>
  <c r="D169" i="9"/>
  <c r="C169" i="9"/>
  <c r="AA168" i="9"/>
  <c r="D168" i="9"/>
  <c r="C168" i="9"/>
  <c r="AA167" i="9"/>
  <c r="D167" i="9"/>
  <c r="C167" i="9"/>
  <c r="AA166" i="9"/>
  <c r="D166" i="9"/>
  <c r="C166" i="9"/>
  <c r="AA165" i="9"/>
  <c r="D165" i="9"/>
  <c r="C165" i="9"/>
  <c r="AA164" i="9"/>
  <c r="D164" i="9"/>
  <c r="C164" i="9"/>
  <c r="AA163" i="9"/>
  <c r="D163" i="9"/>
  <c r="C163" i="9"/>
  <c r="AA162" i="9"/>
  <c r="D162" i="9"/>
  <c r="C162" i="9"/>
  <c r="AA161" i="9"/>
  <c r="D161" i="9"/>
  <c r="C161" i="9"/>
  <c r="AA160" i="9"/>
  <c r="D160" i="9"/>
  <c r="C160" i="9"/>
  <c r="AA159" i="9"/>
  <c r="D159" i="9"/>
  <c r="C159" i="9"/>
  <c r="AA158" i="9"/>
  <c r="D158" i="9"/>
  <c r="C158" i="9"/>
  <c r="AA157" i="9"/>
  <c r="D157" i="9"/>
  <c r="C157" i="9"/>
  <c r="AA156" i="9"/>
  <c r="D156" i="9"/>
  <c r="C156" i="9"/>
  <c r="AA155" i="9"/>
  <c r="D155" i="9"/>
  <c r="C155" i="9"/>
  <c r="AA154" i="9"/>
  <c r="D154" i="9"/>
  <c r="C154" i="9"/>
  <c r="AA153" i="9"/>
  <c r="D153" i="9"/>
  <c r="C153" i="9"/>
  <c r="AA152" i="9"/>
  <c r="D152" i="9"/>
  <c r="C152" i="9"/>
  <c r="AA151" i="9"/>
  <c r="D151" i="9"/>
  <c r="C151" i="9"/>
  <c r="AA150" i="9"/>
  <c r="D150" i="9"/>
  <c r="C150" i="9"/>
  <c r="AA149" i="9"/>
  <c r="D149" i="9"/>
  <c r="C149" i="9"/>
  <c r="AA148" i="9"/>
  <c r="D148" i="9"/>
  <c r="C148" i="9"/>
  <c r="AA147" i="9"/>
  <c r="D147" i="9"/>
  <c r="C147" i="9"/>
  <c r="AA146" i="9"/>
  <c r="D146" i="9"/>
  <c r="C146" i="9"/>
  <c r="AA145" i="9"/>
  <c r="D145" i="9"/>
  <c r="C145" i="9"/>
  <c r="AA144" i="9"/>
  <c r="D144" i="9"/>
  <c r="C144" i="9"/>
  <c r="AA143" i="9"/>
  <c r="D143" i="9"/>
  <c r="C143" i="9"/>
  <c r="AA142" i="9"/>
  <c r="D142" i="9"/>
  <c r="C142" i="9"/>
  <c r="AA141" i="9"/>
  <c r="D141" i="9"/>
  <c r="C141" i="9"/>
  <c r="AA140" i="9"/>
  <c r="D140" i="9"/>
  <c r="C140" i="9"/>
  <c r="AA139" i="9"/>
  <c r="D139" i="9"/>
  <c r="C139" i="9"/>
  <c r="AA138" i="9"/>
  <c r="D138" i="9"/>
  <c r="C138" i="9"/>
  <c r="AA137" i="9"/>
  <c r="D137" i="9"/>
  <c r="C137" i="9"/>
  <c r="AA136" i="9"/>
  <c r="D136" i="9"/>
  <c r="C136" i="9"/>
  <c r="AA135" i="9"/>
  <c r="D135" i="9"/>
  <c r="C135" i="9"/>
  <c r="AA134" i="9"/>
  <c r="D134" i="9"/>
  <c r="C134" i="9"/>
  <c r="AA133" i="9"/>
  <c r="D133" i="9"/>
  <c r="C133" i="9"/>
  <c r="AA132" i="9"/>
  <c r="D132" i="9"/>
  <c r="C132" i="9"/>
  <c r="AA131" i="9"/>
  <c r="D131" i="9"/>
  <c r="C131" i="9"/>
  <c r="AA130" i="9"/>
  <c r="D130" i="9"/>
  <c r="C130" i="9"/>
  <c r="AA129" i="9"/>
  <c r="D129" i="9"/>
  <c r="C129" i="9"/>
  <c r="AA128" i="9"/>
  <c r="D128" i="9"/>
  <c r="C128" i="9"/>
  <c r="AA127" i="9"/>
  <c r="D127" i="9"/>
  <c r="C127" i="9"/>
  <c r="AA126" i="9"/>
  <c r="D126" i="9"/>
  <c r="C126" i="9"/>
  <c r="AA125" i="9"/>
  <c r="D125" i="9"/>
  <c r="C125" i="9"/>
  <c r="AA124" i="9"/>
  <c r="D124" i="9"/>
  <c r="C124" i="9"/>
  <c r="AA123" i="9"/>
  <c r="D123" i="9"/>
  <c r="C123" i="9"/>
  <c r="AA122" i="9"/>
  <c r="D122" i="9"/>
  <c r="C122" i="9"/>
  <c r="AA121" i="9"/>
  <c r="D121" i="9"/>
  <c r="C121" i="9"/>
  <c r="AA120" i="9"/>
  <c r="D120" i="9"/>
  <c r="C120" i="9"/>
  <c r="AA119" i="9"/>
  <c r="D119" i="9"/>
  <c r="C119" i="9"/>
  <c r="AA118" i="9"/>
  <c r="D118" i="9"/>
  <c r="C118" i="9"/>
  <c r="AA117" i="9"/>
  <c r="D117" i="9"/>
  <c r="C117" i="9"/>
  <c r="AA116" i="9"/>
  <c r="D116" i="9"/>
  <c r="C116" i="9"/>
  <c r="AA115" i="9"/>
  <c r="D115" i="9"/>
  <c r="C115" i="9"/>
  <c r="AA114" i="9"/>
  <c r="D114" i="9"/>
  <c r="C114" i="9"/>
  <c r="AA113" i="9"/>
  <c r="D113" i="9"/>
  <c r="C113" i="9"/>
  <c r="AA112" i="9"/>
  <c r="D112" i="9"/>
  <c r="C112" i="9"/>
  <c r="AA111" i="9"/>
  <c r="D111" i="9"/>
  <c r="C111" i="9"/>
  <c r="AA110" i="9"/>
  <c r="D110" i="9"/>
  <c r="C110" i="9"/>
  <c r="AA109" i="9"/>
  <c r="D109" i="9"/>
  <c r="C109" i="9"/>
  <c r="AA108" i="9"/>
  <c r="D108" i="9"/>
  <c r="C108" i="9"/>
  <c r="AA107" i="9"/>
  <c r="D107" i="9"/>
  <c r="C107" i="9"/>
  <c r="AA106" i="9"/>
  <c r="D106" i="9"/>
  <c r="C106" i="9"/>
  <c r="AA105" i="9"/>
  <c r="D105" i="9"/>
  <c r="C105" i="9"/>
  <c r="AA104" i="9"/>
  <c r="D104" i="9"/>
  <c r="C104" i="9"/>
  <c r="AA103" i="9"/>
  <c r="D103" i="9"/>
  <c r="C103" i="9"/>
  <c r="AA102" i="9"/>
  <c r="D102" i="9"/>
  <c r="C102" i="9"/>
  <c r="AA101" i="9"/>
  <c r="D101" i="9"/>
  <c r="C101" i="9"/>
  <c r="AA100" i="9"/>
  <c r="D100" i="9"/>
  <c r="C100" i="9"/>
  <c r="AA99" i="9"/>
  <c r="D99" i="9"/>
  <c r="C99" i="9"/>
  <c r="AA98" i="9"/>
  <c r="D98" i="9"/>
  <c r="C98" i="9"/>
  <c r="AA97" i="9"/>
  <c r="D97" i="9"/>
  <c r="C97" i="9"/>
  <c r="AA96" i="9"/>
  <c r="D96" i="9"/>
  <c r="C96" i="9"/>
  <c r="AA95" i="9"/>
  <c r="D95" i="9"/>
  <c r="C95" i="9"/>
  <c r="AA94" i="9"/>
  <c r="D94" i="9"/>
  <c r="C94" i="9"/>
  <c r="AA93" i="9"/>
  <c r="D93" i="9"/>
  <c r="C93" i="9"/>
  <c r="AA92" i="9"/>
  <c r="D92" i="9"/>
  <c r="C92" i="9"/>
  <c r="AA91" i="9"/>
  <c r="D91" i="9"/>
  <c r="C91" i="9"/>
  <c r="AA90" i="9"/>
  <c r="D90" i="9"/>
  <c r="C90" i="9"/>
  <c r="AA89" i="9"/>
  <c r="D89" i="9"/>
  <c r="C89" i="9"/>
  <c r="AA88" i="9"/>
  <c r="D88" i="9"/>
  <c r="C88" i="9"/>
  <c r="AA87" i="9"/>
  <c r="D87" i="9"/>
  <c r="C87" i="9"/>
  <c r="AA86" i="9"/>
  <c r="D86" i="9"/>
  <c r="C86" i="9"/>
  <c r="AA85" i="9"/>
  <c r="D85" i="9"/>
  <c r="C85" i="9"/>
  <c r="AA84" i="9"/>
  <c r="D84" i="9"/>
  <c r="C84" i="9"/>
  <c r="AA83" i="9"/>
  <c r="D83" i="9"/>
  <c r="C83" i="9"/>
  <c r="AA82" i="9"/>
  <c r="D82" i="9"/>
  <c r="C82" i="9"/>
  <c r="AA81" i="9"/>
  <c r="D81" i="9"/>
  <c r="C81" i="9"/>
  <c r="AA80" i="9"/>
  <c r="D80" i="9"/>
  <c r="C80" i="9"/>
  <c r="AA79" i="9"/>
  <c r="D79" i="9"/>
  <c r="C79" i="9"/>
  <c r="AA78" i="9"/>
  <c r="D78" i="9"/>
  <c r="C78" i="9"/>
  <c r="AA77" i="9"/>
  <c r="D77" i="9"/>
  <c r="C77" i="9"/>
  <c r="AA76" i="9"/>
  <c r="AB76" i="9" s="1"/>
  <c r="AC76" i="9" s="1"/>
  <c r="D76" i="9"/>
  <c r="C76" i="9"/>
  <c r="AA75" i="9"/>
  <c r="D75" i="9"/>
  <c r="C75" i="9"/>
  <c r="AA74" i="9"/>
  <c r="D74" i="9"/>
  <c r="C74" i="9"/>
  <c r="AA73" i="9"/>
  <c r="AB73" i="9" s="1"/>
  <c r="AC73" i="9" s="1"/>
  <c r="D73" i="9"/>
  <c r="C73" i="9"/>
  <c r="AA72" i="9"/>
  <c r="D72" i="9"/>
  <c r="C72" i="9"/>
  <c r="AA71" i="9"/>
  <c r="D71" i="9"/>
  <c r="C71" i="9"/>
  <c r="AA70" i="9"/>
  <c r="D70" i="9"/>
  <c r="C70" i="9"/>
  <c r="AA69" i="9"/>
  <c r="D69" i="9"/>
  <c r="C69" i="9"/>
  <c r="AA68" i="9"/>
  <c r="D68" i="9"/>
  <c r="C68" i="9"/>
  <c r="AA67" i="9"/>
  <c r="D67" i="9"/>
  <c r="C67" i="9"/>
  <c r="AA66" i="9"/>
  <c r="D66" i="9"/>
  <c r="C66" i="9"/>
  <c r="AA65" i="9"/>
  <c r="D65" i="9"/>
  <c r="C65" i="9"/>
  <c r="AA64" i="9"/>
  <c r="D64" i="9"/>
  <c r="C64" i="9"/>
  <c r="AA63" i="9"/>
  <c r="D63" i="9"/>
  <c r="C63" i="9"/>
  <c r="AA62" i="9"/>
  <c r="D62" i="9"/>
  <c r="C62" i="9"/>
  <c r="AA61" i="9"/>
  <c r="D61" i="9"/>
  <c r="C61" i="9"/>
  <c r="AA60" i="9"/>
  <c r="D60" i="9"/>
  <c r="C60" i="9"/>
  <c r="AA59" i="9"/>
  <c r="D59" i="9"/>
  <c r="C59" i="9"/>
  <c r="AA58" i="9"/>
  <c r="D58" i="9"/>
  <c r="C58" i="9"/>
  <c r="AA57" i="9"/>
  <c r="D57" i="9"/>
  <c r="C57" i="9"/>
  <c r="AA56" i="9"/>
  <c r="D56" i="9"/>
  <c r="C56" i="9"/>
  <c r="AA55" i="9"/>
  <c r="D55" i="9"/>
  <c r="C55" i="9"/>
  <c r="AA54" i="9"/>
  <c r="D54" i="9"/>
  <c r="C54" i="9"/>
  <c r="AA53" i="9"/>
  <c r="AB53" i="9" s="1"/>
  <c r="AC53" i="9" s="1"/>
  <c r="D53" i="9"/>
  <c r="C53" i="9"/>
  <c r="AA52" i="9"/>
  <c r="D52" i="9"/>
  <c r="C52" i="9"/>
  <c r="AA51" i="9"/>
  <c r="D51" i="9"/>
  <c r="C51" i="9"/>
  <c r="AA50" i="9"/>
  <c r="D50" i="9"/>
  <c r="C50" i="9"/>
  <c r="AA49" i="9"/>
  <c r="D49" i="9"/>
  <c r="C49" i="9"/>
  <c r="AA48" i="9"/>
  <c r="D48" i="9"/>
  <c r="C48" i="9"/>
  <c r="AA47" i="9"/>
  <c r="D47" i="9"/>
  <c r="C47" i="9"/>
  <c r="AA46" i="9"/>
  <c r="D46" i="9"/>
  <c r="C46" i="9"/>
  <c r="AA45" i="9"/>
  <c r="D45" i="9"/>
  <c r="C45" i="9"/>
  <c r="AA44" i="9"/>
  <c r="D44" i="9"/>
  <c r="C44" i="9"/>
  <c r="AA43" i="9"/>
  <c r="D43" i="9"/>
  <c r="C43" i="9"/>
  <c r="AA42" i="9"/>
  <c r="D42" i="9"/>
  <c r="C42" i="9"/>
  <c r="AA41" i="9"/>
  <c r="D41" i="9"/>
  <c r="C41" i="9"/>
  <c r="AA40" i="9"/>
  <c r="D40" i="9"/>
  <c r="C40" i="9"/>
  <c r="AA39" i="9"/>
  <c r="D39" i="9"/>
  <c r="C39" i="9"/>
  <c r="AA38" i="9"/>
  <c r="D38" i="9"/>
  <c r="C38" i="9"/>
  <c r="AA37" i="9"/>
  <c r="D37" i="9"/>
  <c r="C37" i="9"/>
  <c r="AA36" i="9"/>
  <c r="D36" i="9"/>
  <c r="C36" i="9"/>
  <c r="AA35" i="9"/>
  <c r="D35" i="9"/>
  <c r="C35" i="9"/>
  <c r="AA34" i="9"/>
  <c r="D34" i="9"/>
  <c r="C34" i="9"/>
  <c r="AA33" i="9"/>
  <c r="D33" i="9"/>
  <c r="C33" i="9"/>
  <c r="AA32" i="9"/>
  <c r="D32" i="9"/>
  <c r="C32" i="9"/>
  <c r="AA31" i="9"/>
  <c r="D31" i="9"/>
  <c r="C31" i="9"/>
  <c r="AA30" i="9"/>
  <c r="D30" i="9"/>
  <c r="C30" i="9"/>
  <c r="AA29" i="9"/>
  <c r="D29" i="9"/>
  <c r="C29" i="9"/>
  <c r="AA28" i="9"/>
  <c r="D28" i="9"/>
  <c r="C28" i="9"/>
  <c r="AA27" i="9"/>
  <c r="D27" i="9"/>
  <c r="C27" i="9"/>
  <c r="AA26" i="9"/>
  <c r="D26" i="9"/>
  <c r="C26" i="9"/>
  <c r="AA25" i="9"/>
  <c r="D24" i="9"/>
  <c r="C24" i="9"/>
  <c r="AA24" i="9"/>
  <c r="D23" i="9"/>
  <c r="C23" i="9"/>
  <c r="AA23" i="9"/>
  <c r="D18" i="9"/>
  <c r="C18" i="9"/>
  <c r="AA22" i="9"/>
  <c r="D17" i="9"/>
  <c r="C17" i="9"/>
  <c r="AA21" i="9"/>
  <c r="D16" i="9"/>
  <c r="C16" i="9"/>
  <c r="AA20" i="9"/>
  <c r="D15" i="9"/>
  <c r="C15" i="9"/>
  <c r="AA19" i="9"/>
  <c r="D14" i="9"/>
  <c r="C14" i="9"/>
  <c r="AA18" i="9"/>
  <c r="D13" i="9"/>
  <c r="C13" i="9"/>
  <c r="AA17" i="9"/>
  <c r="D12" i="9"/>
  <c r="C12" i="9"/>
  <c r="AA16" i="9"/>
  <c r="D10" i="9"/>
  <c r="C10" i="9"/>
  <c r="AA15" i="9"/>
  <c r="D8" i="9"/>
  <c r="C8" i="9"/>
  <c r="AA14" i="9"/>
  <c r="D7" i="9"/>
  <c r="C7" i="9"/>
  <c r="AA13" i="9"/>
  <c r="D6" i="9"/>
  <c r="C6" i="9"/>
  <c r="AA12" i="9"/>
  <c r="D4" i="9"/>
  <c r="C4" i="9"/>
  <c r="AA11" i="9"/>
  <c r="D25" i="9"/>
  <c r="C25" i="9"/>
  <c r="AA10" i="9"/>
  <c r="AB10" i="9" s="1"/>
  <c r="AC10" i="9" s="1"/>
  <c r="D22" i="9"/>
  <c r="C22" i="9"/>
  <c r="AA9" i="9"/>
  <c r="D21" i="9"/>
  <c r="C21" i="9"/>
  <c r="AA8" i="9"/>
  <c r="D20" i="9"/>
  <c r="C20" i="9"/>
  <c r="AA7" i="9"/>
  <c r="D19" i="9"/>
  <c r="C19" i="9"/>
  <c r="AA6" i="9"/>
  <c r="D9" i="9"/>
  <c r="C9" i="9"/>
  <c r="AA5" i="9"/>
  <c r="D5" i="9"/>
  <c r="C5" i="9"/>
  <c r="AA4" i="9"/>
  <c r="D11" i="9"/>
  <c r="C11" i="9"/>
  <c r="AA3" i="9"/>
  <c r="AA2" i="9"/>
  <c r="AA1" i="9"/>
  <c r="AA368" i="7"/>
  <c r="AA367" i="7"/>
  <c r="AA366" i="7"/>
  <c r="AA365" i="7"/>
  <c r="AA364" i="7"/>
  <c r="AA363" i="7"/>
  <c r="AA362" i="7"/>
  <c r="AA361" i="7"/>
  <c r="AA360" i="7"/>
  <c r="AA359" i="7"/>
  <c r="AA358" i="7"/>
  <c r="AA357" i="7"/>
  <c r="AA356" i="7"/>
  <c r="AA355" i="7"/>
  <c r="AA354" i="7"/>
  <c r="AA353" i="7"/>
  <c r="AA352" i="7"/>
  <c r="AA351" i="7"/>
  <c r="AA350" i="7"/>
  <c r="AA349" i="7"/>
  <c r="AA348" i="7"/>
  <c r="AA347" i="7"/>
  <c r="AA346" i="7"/>
  <c r="AA345" i="7"/>
  <c r="AA344" i="7"/>
  <c r="AA343" i="7"/>
  <c r="AA342" i="7"/>
  <c r="AA341" i="7"/>
  <c r="AA340" i="7"/>
  <c r="AA339" i="7"/>
  <c r="AA338" i="7"/>
  <c r="AA337" i="7"/>
  <c r="AA336" i="7"/>
  <c r="AA335" i="7"/>
  <c r="AA334" i="7"/>
  <c r="AA333" i="7"/>
  <c r="AA332" i="7"/>
  <c r="AA331" i="7"/>
  <c r="AA330" i="7"/>
  <c r="AA329" i="7"/>
  <c r="AA328" i="7"/>
  <c r="AA327" i="7"/>
  <c r="AA326" i="7"/>
  <c r="AA325" i="7"/>
  <c r="AA324" i="7"/>
  <c r="AA323" i="7"/>
  <c r="AA322" i="7"/>
  <c r="AA321" i="7"/>
  <c r="AA320" i="7"/>
  <c r="AA319" i="7"/>
  <c r="AA318" i="7"/>
  <c r="AA317" i="7"/>
  <c r="AA316" i="7"/>
  <c r="AA315" i="7"/>
  <c r="AA314" i="7"/>
  <c r="AA313" i="7"/>
  <c r="AA312" i="7"/>
  <c r="AA311" i="7"/>
  <c r="AA310" i="7"/>
  <c r="AA309" i="7"/>
  <c r="AA308" i="7"/>
  <c r="AA307" i="7"/>
  <c r="AA306" i="7"/>
  <c r="AA305" i="7"/>
  <c r="AA304" i="7"/>
  <c r="AA303" i="7"/>
  <c r="AA302" i="7"/>
  <c r="AA301" i="7"/>
  <c r="AA300" i="7"/>
  <c r="AA299" i="7"/>
  <c r="AA298" i="7"/>
  <c r="AA297" i="7"/>
  <c r="AA296" i="7"/>
  <c r="AA295" i="7"/>
  <c r="AA294" i="7"/>
  <c r="AA293" i="7"/>
  <c r="AA292" i="7"/>
  <c r="AA291" i="7"/>
  <c r="AA290" i="7"/>
  <c r="AA289" i="7"/>
  <c r="AA288" i="7"/>
  <c r="AA287" i="7"/>
  <c r="AA286" i="7"/>
  <c r="AA285" i="7"/>
  <c r="AA284" i="7"/>
  <c r="AA283" i="7"/>
  <c r="AA282" i="7"/>
  <c r="AA281" i="7"/>
  <c r="AA280" i="7"/>
  <c r="AA279" i="7"/>
  <c r="AA278" i="7"/>
  <c r="AA277" i="7"/>
  <c r="AA276" i="7"/>
  <c r="AA275" i="7"/>
  <c r="AA274" i="7"/>
  <c r="AA273" i="7"/>
  <c r="AA272" i="7"/>
  <c r="AA271" i="7"/>
  <c r="AA270" i="7"/>
  <c r="AA269" i="7"/>
  <c r="AA268" i="7"/>
  <c r="AA267" i="7"/>
  <c r="AA266" i="7"/>
  <c r="AA265" i="7"/>
  <c r="AA264" i="7"/>
  <c r="AA263" i="7"/>
  <c r="AA262" i="7"/>
  <c r="AA261" i="7"/>
  <c r="AA260" i="7"/>
  <c r="AA259" i="7"/>
  <c r="AA258" i="7"/>
  <c r="AA257" i="7"/>
  <c r="AA256" i="7"/>
  <c r="AA255" i="7"/>
  <c r="AA254" i="7"/>
  <c r="AA253" i="7"/>
  <c r="AA252" i="7"/>
  <c r="AA251" i="7"/>
  <c r="AA250" i="7"/>
  <c r="AA249" i="7"/>
  <c r="AA248" i="7"/>
  <c r="AA247" i="7"/>
  <c r="AA246" i="7"/>
  <c r="AA245" i="7"/>
  <c r="AA244" i="7"/>
  <c r="AA243" i="7"/>
  <c r="AA242" i="7"/>
  <c r="AA241" i="7"/>
  <c r="AA240" i="7"/>
  <c r="AA239" i="7"/>
  <c r="AA238" i="7"/>
  <c r="AA237" i="7"/>
  <c r="AA236" i="7"/>
  <c r="AA235" i="7"/>
  <c r="AA234" i="7"/>
  <c r="AA233" i="7"/>
  <c r="AA232" i="7"/>
  <c r="AA231" i="7"/>
  <c r="AA230" i="7"/>
  <c r="AA229" i="7"/>
  <c r="AA228" i="7"/>
  <c r="AA227" i="7"/>
  <c r="AA226" i="7"/>
  <c r="AA225" i="7"/>
  <c r="AA224" i="7"/>
  <c r="AA223" i="7"/>
  <c r="AA222" i="7"/>
  <c r="AA221" i="7"/>
  <c r="AA220" i="7"/>
  <c r="AA219" i="7"/>
  <c r="AA218" i="7"/>
  <c r="AA217" i="7"/>
  <c r="AA216" i="7"/>
  <c r="AA215" i="7"/>
  <c r="AA214" i="7"/>
  <c r="AA213" i="7"/>
  <c r="AA212" i="7"/>
  <c r="AA211" i="7"/>
  <c r="AA210" i="7"/>
  <c r="AA209" i="7"/>
  <c r="AA208" i="7"/>
  <c r="AA207" i="7"/>
  <c r="AA206" i="7"/>
  <c r="AA205" i="7"/>
  <c r="AA204" i="7"/>
  <c r="AA203" i="7"/>
  <c r="AA202" i="7"/>
  <c r="AA201" i="7"/>
  <c r="AA200" i="7"/>
  <c r="AA199" i="7"/>
  <c r="AA198" i="7"/>
  <c r="AA197" i="7"/>
  <c r="AA196" i="7"/>
  <c r="AA195" i="7"/>
  <c r="AA194" i="7"/>
  <c r="AA193" i="7"/>
  <c r="AA192" i="7"/>
  <c r="AA191" i="7"/>
  <c r="AA190" i="7"/>
  <c r="AA189" i="7"/>
  <c r="AA188" i="7"/>
  <c r="AA187" i="7"/>
  <c r="AA186" i="7"/>
  <c r="AA185" i="7"/>
  <c r="AA184" i="7"/>
  <c r="AA183" i="7"/>
  <c r="AA182" i="7"/>
  <c r="AA181" i="7"/>
  <c r="AA180" i="7"/>
  <c r="AA179" i="7"/>
  <c r="AA178" i="7"/>
  <c r="AA177" i="7"/>
  <c r="AA176" i="7"/>
  <c r="AA175" i="7"/>
  <c r="AA174" i="7"/>
  <c r="AA173" i="7"/>
  <c r="AA172" i="7"/>
  <c r="AA171" i="7"/>
  <c r="AA170" i="7"/>
  <c r="AA169" i="7"/>
  <c r="AA168" i="7"/>
  <c r="AA167" i="7"/>
  <c r="AA166" i="7"/>
  <c r="AA165" i="7"/>
  <c r="AA164" i="7"/>
  <c r="AA163" i="7"/>
  <c r="AA162" i="7"/>
  <c r="AA161" i="7"/>
  <c r="AA160" i="7"/>
  <c r="AA159" i="7"/>
  <c r="AA158" i="7"/>
  <c r="AA157" i="7"/>
  <c r="AA156" i="7"/>
  <c r="AA155" i="7"/>
  <c r="AA154" i="7"/>
  <c r="AA153" i="7"/>
  <c r="AA152" i="7"/>
  <c r="AA151" i="7"/>
  <c r="AA150" i="7"/>
  <c r="AA149" i="7"/>
  <c r="AA148" i="7"/>
  <c r="AA147" i="7"/>
  <c r="AA146" i="7"/>
  <c r="AA145" i="7"/>
  <c r="AA144" i="7"/>
  <c r="AA143" i="7"/>
  <c r="AA142" i="7"/>
  <c r="AA141" i="7"/>
  <c r="AA140" i="7"/>
  <c r="AA139" i="7"/>
  <c r="AA138" i="7"/>
  <c r="AA137" i="7"/>
  <c r="AA136" i="7"/>
  <c r="AA135" i="7"/>
  <c r="AA134" i="7"/>
  <c r="AA133" i="7"/>
  <c r="AA132" i="7"/>
  <c r="AA131" i="7"/>
  <c r="AA130" i="7"/>
  <c r="AA129" i="7"/>
  <c r="AA128" i="7"/>
  <c r="AA127" i="7"/>
  <c r="AA126" i="7"/>
  <c r="AA125" i="7"/>
  <c r="AA124" i="7"/>
  <c r="AA123" i="7"/>
  <c r="AA122" i="7"/>
  <c r="AA121" i="7"/>
  <c r="AA120" i="7"/>
  <c r="AA119" i="7"/>
  <c r="AA118" i="7"/>
  <c r="AA117" i="7"/>
  <c r="AA116" i="7"/>
  <c r="AA115" i="7"/>
  <c r="AA114" i="7"/>
  <c r="AA113" i="7"/>
  <c r="AA112" i="7"/>
  <c r="AA111" i="7"/>
  <c r="AA110" i="7"/>
  <c r="AA109" i="7"/>
  <c r="AA108" i="7"/>
  <c r="AA107" i="7"/>
  <c r="AA106" i="7"/>
  <c r="AA105" i="7"/>
  <c r="AA104" i="7"/>
  <c r="AA103" i="7"/>
  <c r="AA102" i="7"/>
  <c r="AA101" i="7"/>
  <c r="AA100" i="7"/>
  <c r="AA99" i="7"/>
  <c r="AA98" i="7"/>
  <c r="AA97" i="7"/>
  <c r="AA96" i="7"/>
  <c r="AA95" i="7"/>
  <c r="AA94" i="7"/>
  <c r="AA93" i="7"/>
  <c r="AA92" i="7"/>
  <c r="AA91" i="7"/>
  <c r="AA90" i="7"/>
  <c r="AA89" i="7"/>
  <c r="AA88" i="7"/>
  <c r="AA87" i="7"/>
  <c r="AA86" i="7"/>
  <c r="AA85" i="7"/>
  <c r="AA84" i="7"/>
  <c r="AA83" i="7"/>
  <c r="AA82" i="7"/>
  <c r="AA81" i="7"/>
  <c r="AA80" i="7"/>
  <c r="AA79" i="7"/>
  <c r="AA78" i="7"/>
  <c r="AA77" i="7"/>
  <c r="AA76" i="7"/>
  <c r="AA75" i="7"/>
  <c r="AA74" i="7"/>
  <c r="AA73" i="7"/>
  <c r="AA72" i="7"/>
  <c r="AA71" i="7"/>
  <c r="AA70" i="7"/>
  <c r="AA69" i="7"/>
  <c r="AA68" i="7"/>
  <c r="AA67" i="7"/>
  <c r="AA66" i="7"/>
  <c r="AA65" i="7"/>
  <c r="AA64" i="7"/>
  <c r="AB64" i="7" s="1"/>
  <c r="AC64" i="7" s="1"/>
  <c r="AA63" i="7"/>
  <c r="AA62" i="7"/>
  <c r="AA61" i="7"/>
  <c r="AA60" i="7"/>
  <c r="AA59" i="7"/>
  <c r="AA58" i="7"/>
  <c r="AB58" i="7" s="1"/>
  <c r="AC58" i="7" s="1"/>
  <c r="AA57" i="7"/>
  <c r="AA56" i="7"/>
  <c r="AA55" i="7"/>
  <c r="AA54" i="7"/>
  <c r="AA53" i="7"/>
  <c r="AA52" i="7"/>
  <c r="AA51" i="7"/>
  <c r="AA50" i="7"/>
  <c r="AA49" i="7"/>
  <c r="AA48" i="7"/>
  <c r="AA47" i="7"/>
  <c r="AB47" i="7" s="1"/>
  <c r="AA46" i="7"/>
  <c r="AB46" i="7" s="1"/>
  <c r="AC46" i="7" s="1"/>
  <c r="AA45" i="7"/>
  <c r="AA44" i="7"/>
  <c r="AA43" i="7"/>
  <c r="AA42" i="7"/>
  <c r="AA41" i="7"/>
  <c r="AA40" i="7"/>
  <c r="AA39" i="7"/>
  <c r="AA38" i="7"/>
  <c r="AB38" i="7" s="1"/>
  <c r="AC38" i="7" s="1"/>
  <c r="AA37" i="7"/>
  <c r="AA36" i="7"/>
  <c r="AA35" i="7"/>
  <c r="AA34" i="7"/>
  <c r="AA33" i="7"/>
  <c r="AA32" i="7"/>
  <c r="AB31" i="7"/>
  <c r="AA31" i="7"/>
  <c r="AA30" i="7"/>
  <c r="AA29" i="7"/>
  <c r="AA28" i="7"/>
  <c r="AA27" i="7"/>
  <c r="AB27" i="7" s="1"/>
  <c r="AA26" i="7"/>
  <c r="AA25" i="7"/>
  <c r="AA24" i="7"/>
  <c r="AB24" i="7" s="1"/>
  <c r="AA23" i="7"/>
  <c r="AA22" i="7"/>
  <c r="AB22" i="7" s="1"/>
  <c r="AB21" i="7"/>
  <c r="AA21" i="7"/>
  <c r="AA20" i="7"/>
  <c r="AB19" i="7"/>
  <c r="AA19" i="7"/>
  <c r="AA18" i="7"/>
  <c r="AB17" i="7"/>
  <c r="AA17" i="7"/>
  <c r="AA16" i="7"/>
  <c r="AA15" i="7"/>
  <c r="AB15" i="7" s="1"/>
  <c r="AB14" i="7"/>
  <c r="AA14" i="7"/>
  <c r="AA13" i="7"/>
  <c r="AA12" i="7"/>
  <c r="AB12" i="7" s="1"/>
  <c r="AA11" i="7"/>
  <c r="AA10" i="7"/>
  <c r="AA9" i="7"/>
  <c r="AB9" i="7" s="1"/>
  <c r="AA8" i="7"/>
  <c r="AA7" i="7"/>
  <c r="AB7" i="7" s="1"/>
  <c r="AA6" i="7"/>
  <c r="AA5" i="7"/>
  <c r="AA4" i="7"/>
  <c r="AA3" i="7"/>
  <c r="AA2" i="7"/>
  <c r="AA1" i="7"/>
  <c r="I309" i="6"/>
  <c r="I308" i="6"/>
  <c r="I307" i="6"/>
  <c r="I306" i="6"/>
  <c r="I305" i="6"/>
  <c r="I304" i="6"/>
  <c r="I303" i="6"/>
  <c r="I302" i="6"/>
  <c r="I301" i="6"/>
  <c r="I300" i="6"/>
  <c r="I299" i="6"/>
  <c r="I298" i="6"/>
  <c r="I297" i="6"/>
  <c r="I296" i="6"/>
  <c r="I295" i="6"/>
  <c r="I294" i="6"/>
  <c r="I293" i="6"/>
  <c r="I292" i="6"/>
  <c r="I291" i="6"/>
  <c r="I290" i="6"/>
  <c r="I289" i="6"/>
  <c r="I288" i="6"/>
  <c r="I287" i="6"/>
  <c r="I286" i="6"/>
  <c r="I285" i="6"/>
  <c r="I284" i="6"/>
  <c r="I283" i="6"/>
  <c r="I282" i="6"/>
  <c r="I281" i="6"/>
  <c r="I280" i="6"/>
  <c r="I279" i="6"/>
  <c r="I278" i="6"/>
  <c r="I277" i="6"/>
  <c r="I276" i="6"/>
  <c r="I275" i="6"/>
  <c r="I274" i="6"/>
  <c r="I273" i="6"/>
  <c r="I272" i="6"/>
  <c r="I271" i="6"/>
  <c r="I270" i="6"/>
  <c r="I269" i="6"/>
  <c r="I268" i="6"/>
  <c r="I267" i="6"/>
  <c r="I266" i="6"/>
  <c r="I265" i="6"/>
  <c r="I264" i="6"/>
  <c r="I263" i="6"/>
  <c r="I262" i="6"/>
  <c r="I261" i="6"/>
  <c r="I260" i="6"/>
  <c r="I259" i="6"/>
  <c r="I258" i="6"/>
  <c r="I257" i="6"/>
  <c r="I256" i="6"/>
  <c r="I255" i="6"/>
  <c r="I254" i="6"/>
  <c r="I253" i="6"/>
  <c r="I252" i="6"/>
  <c r="I251" i="6"/>
  <c r="I250" i="6"/>
  <c r="I249" i="6"/>
  <c r="I248" i="6"/>
  <c r="I247" i="6"/>
  <c r="I246" i="6"/>
  <c r="I245" i="6"/>
  <c r="I244" i="6"/>
  <c r="I243" i="6"/>
  <c r="I242" i="6"/>
  <c r="I241" i="6"/>
  <c r="I240" i="6"/>
  <c r="I239" i="6"/>
  <c r="I238" i="6"/>
  <c r="I237" i="6"/>
  <c r="I236" i="6"/>
  <c r="I235" i="6"/>
  <c r="I234" i="6"/>
  <c r="I233" i="6"/>
  <c r="I232" i="6"/>
  <c r="I231" i="6"/>
  <c r="I230" i="6"/>
  <c r="I229" i="6"/>
  <c r="I228" i="6"/>
  <c r="I227" i="6"/>
  <c r="I226" i="6"/>
  <c r="I225" i="6"/>
  <c r="I224" i="6"/>
  <c r="I223" i="6"/>
  <c r="I222" i="6"/>
  <c r="I221" i="6"/>
  <c r="I220" i="6"/>
  <c r="I219" i="6"/>
  <c r="I218" i="6"/>
  <c r="I217" i="6"/>
  <c r="I216" i="6"/>
  <c r="I215" i="6"/>
  <c r="I214" i="6"/>
  <c r="I213" i="6"/>
  <c r="I212" i="6"/>
  <c r="I211" i="6"/>
  <c r="I210" i="6"/>
  <c r="I206" i="6"/>
  <c r="I205" i="6"/>
  <c r="I204" i="6"/>
  <c r="I203" i="6"/>
  <c r="I202" i="6"/>
  <c r="I201" i="6"/>
  <c r="I200" i="6"/>
  <c r="I199" i="6"/>
  <c r="I198" i="6"/>
  <c r="I197" i="6"/>
  <c r="I196" i="6"/>
  <c r="I195" i="6"/>
  <c r="I194" i="6"/>
  <c r="I193" i="6"/>
  <c r="I192" i="6"/>
  <c r="I191" i="6"/>
  <c r="I190" i="6"/>
  <c r="I189" i="6"/>
  <c r="I188" i="6"/>
  <c r="I187" i="6"/>
  <c r="I186" i="6"/>
  <c r="I185" i="6"/>
  <c r="I184" i="6"/>
  <c r="I183" i="6"/>
  <c r="I182" i="6"/>
  <c r="I181" i="6"/>
  <c r="I180" i="6"/>
  <c r="I179" i="6"/>
  <c r="I178" i="6"/>
  <c r="I177" i="6"/>
  <c r="I176" i="6"/>
  <c r="I175" i="6"/>
  <c r="I174" i="6"/>
  <c r="I173" i="6"/>
  <c r="I172" i="6"/>
  <c r="I171" i="6"/>
  <c r="I170" i="6"/>
  <c r="I169" i="6"/>
  <c r="I168" i="6"/>
  <c r="I167" i="6"/>
  <c r="I166" i="6"/>
  <c r="I165" i="6"/>
  <c r="I164" i="6"/>
  <c r="I163" i="6"/>
  <c r="I162" i="6"/>
  <c r="I161" i="6"/>
  <c r="I160" i="6"/>
  <c r="I159" i="6"/>
  <c r="I158" i="6"/>
  <c r="I157" i="6"/>
  <c r="I156" i="6"/>
  <c r="I155" i="6"/>
  <c r="I154" i="6"/>
  <c r="I153" i="6"/>
  <c r="I152" i="6"/>
  <c r="I151" i="6"/>
  <c r="I150" i="6"/>
  <c r="I149" i="6"/>
  <c r="I148" i="6"/>
  <c r="I147" i="6"/>
  <c r="I146" i="6"/>
  <c r="I145" i="6"/>
  <c r="I144" i="6"/>
  <c r="I143" i="6"/>
  <c r="I142" i="6"/>
  <c r="I141" i="6"/>
  <c r="I140" i="6"/>
  <c r="I139" i="6"/>
  <c r="I138" i="6"/>
  <c r="I137" i="6"/>
  <c r="I136" i="6"/>
  <c r="I135" i="6"/>
  <c r="I134" i="6"/>
  <c r="I133" i="6"/>
  <c r="I132" i="6"/>
  <c r="I131" i="6"/>
  <c r="I130" i="6"/>
  <c r="I129" i="6"/>
  <c r="I128" i="6"/>
  <c r="I127" i="6"/>
  <c r="I126" i="6"/>
  <c r="I125" i="6"/>
  <c r="I124" i="6"/>
  <c r="I123" i="6"/>
  <c r="I122" i="6"/>
  <c r="I121" i="6"/>
  <c r="I120" i="6"/>
  <c r="I119" i="6"/>
  <c r="I118" i="6"/>
  <c r="I117" i="6"/>
  <c r="I116" i="6"/>
  <c r="I115" i="6"/>
  <c r="I114" i="6"/>
  <c r="I113" i="6"/>
  <c r="I112" i="6"/>
  <c r="I111" i="6"/>
  <c r="I110" i="6"/>
  <c r="I109" i="6"/>
  <c r="I108" i="6"/>
  <c r="I107" i="6"/>
  <c r="I103" i="6"/>
  <c r="I102" i="6"/>
  <c r="I101" i="6"/>
  <c r="I100" i="6"/>
  <c r="I99" i="6"/>
  <c r="I98" i="6"/>
  <c r="I97" i="6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I309" i="5"/>
  <c r="I308" i="5"/>
  <c r="I307" i="5"/>
  <c r="I306" i="5"/>
  <c r="I305" i="5"/>
  <c r="I304" i="5"/>
  <c r="I303" i="5"/>
  <c r="I302" i="5"/>
  <c r="I301" i="5"/>
  <c r="I300" i="5"/>
  <c r="I299" i="5"/>
  <c r="I298" i="5"/>
  <c r="I297" i="5"/>
  <c r="I296" i="5"/>
  <c r="I295" i="5"/>
  <c r="I294" i="5"/>
  <c r="I293" i="5"/>
  <c r="I292" i="5"/>
  <c r="I291" i="5"/>
  <c r="I290" i="5"/>
  <c r="I289" i="5"/>
  <c r="I288" i="5"/>
  <c r="I287" i="5"/>
  <c r="I286" i="5"/>
  <c r="I285" i="5"/>
  <c r="I284" i="5"/>
  <c r="I283" i="5"/>
  <c r="I282" i="5"/>
  <c r="I281" i="5"/>
  <c r="I280" i="5"/>
  <c r="I279" i="5"/>
  <c r="I278" i="5"/>
  <c r="I277" i="5"/>
  <c r="I276" i="5"/>
  <c r="I275" i="5"/>
  <c r="I274" i="5"/>
  <c r="I273" i="5"/>
  <c r="I272" i="5"/>
  <c r="I271" i="5"/>
  <c r="I270" i="5"/>
  <c r="I269" i="5"/>
  <c r="I268" i="5"/>
  <c r="I267" i="5"/>
  <c r="I266" i="5"/>
  <c r="I265" i="5"/>
  <c r="I264" i="5"/>
  <c r="I263" i="5"/>
  <c r="I262" i="5"/>
  <c r="I261" i="5"/>
  <c r="I260" i="5"/>
  <c r="I259" i="5"/>
  <c r="I258" i="5"/>
  <c r="I257" i="5"/>
  <c r="I256" i="5"/>
  <c r="I255" i="5"/>
  <c r="I254" i="5"/>
  <c r="I253" i="5"/>
  <c r="I252" i="5"/>
  <c r="I251" i="5"/>
  <c r="I250" i="5"/>
  <c r="I249" i="5"/>
  <c r="I248" i="5"/>
  <c r="I247" i="5"/>
  <c r="I246" i="5"/>
  <c r="I245" i="5"/>
  <c r="I244" i="5"/>
  <c r="I243" i="5"/>
  <c r="I242" i="5"/>
  <c r="I241" i="5"/>
  <c r="I240" i="5"/>
  <c r="I239" i="5"/>
  <c r="I238" i="5"/>
  <c r="I237" i="5"/>
  <c r="I236" i="5"/>
  <c r="I235" i="5"/>
  <c r="I234" i="5"/>
  <c r="I233" i="5"/>
  <c r="I232" i="5"/>
  <c r="I231" i="5"/>
  <c r="I230" i="5"/>
  <c r="I229" i="5"/>
  <c r="I228" i="5"/>
  <c r="I227" i="5"/>
  <c r="I226" i="5"/>
  <c r="I225" i="5"/>
  <c r="I224" i="5"/>
  <c r="I223" i="5"/>
  <c r="I222" i="5"/>
  <c r="I221" i="5"/>
  <c r="I220" i="5"/>
  <c r="I219" i="5"/>
  <c r="I218" i="5"/>
  <c r="I217" i="5"/>
  <c r="I216" i="5"/>
  <c r="I215" i="5"/>
  <c r="I214" i="5"/>
  <c r="I213" i="5"/>
  <c r="I212" i="5"/>
  <c r="I211" i="5"/>
  <c r="I210" i="5"/>
  <c r="I206" i="5"/>
  <c r="I205" i="5"/>
  <c r="I204" i="5"/>
  <c r="I203" i="5"/>
  <c r="I202" i="5"/>
  <c r="I201" i="5"/>
  <c r="I200" i="5"/>
  <c r="I199" i="5"/>
  <c r="I198" i="5"/>
  <c r="I197" i="5"/>
  <c r="I196" i="5"/>
  <c r="I195" i="5"/>
  <c r="I194" i="5"/>
  <c r="I193" i="5"/>
  <c r="I192" i="5"/>
  <c r="I191" i="5"/>
  <c r="I190" i="5"/>
  <c r="I189" i="5"/>
  <c r="I188" i="5"/>
  <c r="I187" i="5"/>
  <c r="I186" i="5"/>
  <c r="I185" i="5"/>
  <c r="I184" i="5"/>
  <c r="I183" i="5"/>
  <c r="I182" i="5"/>
  <c r="I181" i="5"/>
  <c r="I180" i="5"/>
  <c r="I179" i="5"/>
  <c r="I178" i="5"/>
  <c r="I177" i="5"/>
  <c r="I176" i="5"/>
  <c r="I175" i="5"/>
  <c r="I174" i="5"/>
  <c r="I173" i="5"/>
  <c r="I172" i="5"/>
  <c r="I171" i="5"/>
  <c r="I170" i="5"/>
  <c r="I169" i="5"/>
  <c r="I168" i="5"/>
  <c r="I167" i="5"/>
  <c r="I166" i="5"/>
  <c r="I165" i="5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309" i="4"/>
  <c r="I308" i="4"/>
  <c r="I307" i="4"/>
  <c r="I306" i="4"/>
  <c r="I305" i="4"/>
  <c r="I304" i="4"/>
  <c r="I303" i="4"/>
  <c r="I302" i="4"/>
  <c r="I301" i="4"/>
  <c r="I300" i="4"/>
  <c r="I299" i="4"/>
  <c r="I298" i="4"/>
  <c r="I297" i="4"/>
  <c r="I296" i="4"/>
  <c r="I295" i="4"/>
  <c r="I294" i="4"/>
  <c r="I293" i="4"/>
  <c r="I292" i="4"/>
  <c r="I291" i="4"/>
  <c r="I290" i="4"/>
  <c r="I289" i="4"/>
  <c r="I288" i="4"/>
  <c r="I287" i="4"/>
  <c r="I286" i="4"/>
  <c r="I285" i="4"/>
  <c r="I284" i="4"/>
  <c r="I283" i="4"/>
  <c r="I282" i="4"/>
  <c r="I281" i="4"/>
  <c r="I280" i="4"/>
  <c r="I279" i="4"/>
  <c r="I278" i="4"/>
  <c r="I277" i="4"/>
  <c r="I276" i="4"/>
  <c r="I275" i="4"/>
  <c r="I274" i="4"/>
  <c r="I273" i="4"/>
  <c r="I272" i="4"/>
  <c r="I271" i="4"/>
  <c r="I270" i="4"/>
  <c r="I269" i="4"/>
  <c r="I268" i="4"/>
  <c r="I267" i="4"/>
  <c r="I266" i="4"/>
  <c r="I265" i="4"/>
  <c r="I264" i="4"/>
  <c r="I263" i="4"/>
  <c r="I262" i="4"/>
  <c r="I261" i="4"/>
  <c r="I260" i="4"/>
  <c r="I259" i="4"/>
  <c r="I258" i="4"/>
  <c r="I257" i="4"/>
  <c r="I256" i="4"/>
  <c r="I255" i="4"/>
  <c r="I254" i="4"/>
  <c r="I253" i="4"/>
  <c r="I252" i="4"/>
  <c r="I251" i="4"/>
  <c r="I250" i="4"/>
  <c r="I249" i="4"/>
  <c r="I248" i="4"/>
  <c r="I247" i="4"/>
  <c r="I246" i="4"/>
  <c r="I245" i="4"/>
  <c r="I244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30" i="4"/>
  <c r="I229" i="4"/>
  <c r="I228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3" i="4"/>
  <c r="I212" i="4"/>
  <c r="I211" i="4"/>
  <c r="I210" i="4"/>
  <c r="I206" i="4"/>
  <c r="I205" i="4"/>
  <c r="I204" i="4"/>
  <c r="I203" i="4"/>
  <c r="I202" i="4"/>
  <c r="I201" i="4"/>
  <c r="I200" i="4"/>
  <c r="I199" i="4"/>
  <c r="I198" i="4"/>
  <c r="I197" i="4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4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H21" i="3" a="1"/>
  <c r="H21" i="3" s="1"/>
  <c r="I20" i="3"/>
  <c r="H20" i="3" a="1"/>
  <c r="H20" i="3"/>
  <c r="I19" i="3"/>
  <c r="H19" i="3" a="1"/>
  <c r="H19" i="3"/>
  <c r="I18" i="3"/>
  <c r="H18" i="3" a="1"/>
  <c r="H18" i="3" s="1"/>
  <c r="I17" i="3"/>
  <c r="H17" i="3" a="1"/>
  <c r="H17" i="3" s="1"/>
  <c r="I16" i="3"/>
  <c r="H16" i="3" a="1"/>
  <c r="H16" i="3"/>
  <c r="I15" i="3"/>
  <c r="H15" i="3" a="1"/>
  <c r="H15" i="3" s="1"/>
  <c r="I14" i="3"/>
  <c r="H14" i="3" a="1"/>
  <c r="H14" i="3"/>
  <c r="I13" i="3"/>
  <c r="H13" i="3" a="1"/>
  <c r="H13" i="3"/>
  <c r="I12" i="3"/>
  <c r="H12" i="3" a="1"/>
  <c r="H12" i="3"/>
  <c r="I11" i="3"/>
  <c r="H11" i="3" a="1"/>
  <c r="H11" i="3"/>
  <c r="I10" i="3"/>
  <c r="H10" i="3" a="1"/>
  <c r="H10" i="3"/>
  <c r="I9" i="3"/>
  <c r="H9" i="3" a="1"/>
  <c r="H9" i="3" s="1"/>
  <c r="I8" i="3"/>
  <c r="H8" i="3" a="1"/>
  <c r="H8" i="3" s="1"/>
  <c r="I7" i="3"/>
  <c r="H7" i="3" a="1"/>
  <c r="H7" i="3"/>
  <c r="I6" i="3"/>
  <c r="H6" i="3" a="1"/>
  <c r="H6" i="3"/>
  <c r="I5" i="3"/>
  <c r="I4" i="3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AA400" i="8"/>
  <c r="AA399" i="8"/>
  <c r="AA398" i="8"/>
  <c r="AA397" i="8"/>
  <c r="AA396" i="8"/>
  <c r="AA395" i="8"/>
  <c r="AA394" i="8"/>
  <c r="AA393" i="8"/>
  <c r="AA392" i="8"/>
  <c r="AA391" i="8"/>
  <c r="AA390" i="8"/>
  <c r="AA389" i="8"/>
  <c r="AA388" i="8"/>
  <c r="AA387" i="8"/>
  <c r="AA386" i="8"/>
  <c r="AA385" i="8"/>
  <c r="AA384" i="8"/>
  <c r="AA383" i="8"/>
  <c r="AA382" i="8"/>
  <c r="AA381" i="8"/>
  <c r="AA380" i="8"/>
  <c r="AA379" i="8"/>
  <c r="AA378" i="8"/>
  <c r="AA377" i="8"/>
  <c r="AA376" i="8"/>
  <c r="AA375" i="8"/>
  <c r="AA374" i="8"/>
  <c r="AA373" i="8"/>
  <c r="AA372" i="8"/>
  <c r="AA371" i="8"/>
  <c r="AA370" i="8"/>
  <c r="AA369" i="8"/>
  <c r="AA368" i="8"/>
  <c r="AA367" i="8"/>
  <c r="AA366" i="8"/>
  <c r="AA365" i="8"/>
  <c r="AA364" i="8"/>
  <c r="AA363" i="8"/>
  <c r="AA362" i="8"/>
  <c r="AA361" i="8"/>
  <c r="AA360" i="8"/>
  <c r="AA359" i="8"/>
  <c r="AA358" i="8"/>
  <c r="AA357" i="8"/>
  <c r="AA356" i="8"/>
  <c r="AA355" i="8"/>
  <c r="AA354" i="8"/>
  <c r="AA353" i="8"/>
  <c r="AA352" i="8"/>
  <c r="AA351" i="8"/>
  <c r="AA350" i="8"/>
  <c r="AA349" i="8"/>
  <c r="AA348" i="8"/>
  <c r="AA347" i="8"/>
  <c r="AA346" i="8"/>
  <c r="AA345" i="8"/>
  <c r="AA344" i="8"/>
  <c r="AA343" i="8"/>
  <c r="AA342" i="8"/>
  <c r="AA341" i="8"/>
  <c r="AA340" i="8"/>
  <c r="AA339" i="8"/>
  <c r="AA338" i="8"/>
  <c r="AA337" i="8"/>
  <c r="AA336" i="8"/>
  <c r="AA335" i="8"/>
  <c r="AA334" i="8"/>
  <c r="AA333" i="8"/>
  <c r="AA332" i="8"/>
  <c r="AA331" i="8"/>
  <c r="AA330" i="8"/>
  <c r="AA329" i="8"/>
  <c r="AA328" i="8"/>
  <c r="AA327" i="8"/>
  <c r="AA326" i="8"/>
  <c r="AA325" i="8"/>
  <c r="AA324" i="8"/>
  <c r="AA323" i="8"/>
  <c r="AA322" i="8"/>
  <c r="AA321" i="8"/>
  <c r="AA320" i="8"/>
  <c r="AA319" i="8"/>
  <c r="AA318" i="8"/>
  <c r="AA317" i="8"/>
  <c r="AA316" i="8"/>
  <c r="AA315" i="8"/>
  <c r="AA314" i="8"/>
  <c r="AA313" i="8"/>
  <c r="AA312" i="8"/>
  <c r="AA311" i="8"/>
  <c r="AA310" i="8"/>
  <c r="AA309" i="8"/>
  <c r="AA308" i="8"/>
  <c r="AA307" i="8"/>
  <c r="AA306" i="8"/>
  <c r="AA305" i="8"/>
  <c r="AA304" i="8"/>
  <c r="AA303" i="8"/>
  <c r="AA302" i="8"/>
  <c r="AA301" i="8"/>
  <c r="AA300" i="8"/>
  <c r="AA299" i="8"/>
  <c r="AA298" i="8"/>
  <c r="AA297" i="8"/>
  <c r="AA296" i="8"/>
  <c r="AA295" i="8"/>
  <c r="AA294" i="8"/>
  <c r="AA293" i="8"/>
  <c r="AA292" i="8"/>
  <c r="AA291" i="8"/>
  <c r="AA290" i="8"/>
  <c r="AA289" i="8"/>
  <c r="AA288" i="8"/>
  <c r="AA287" i="8"/>
  <c r="AA286" i="8"/>
  <c r="AA285" i="8"/>
  <c r="AA284" i="8"/>
  <c r="AA283" i="8"/>
  <c r="AA282" i="8"/>
  <c r="AA281" i="8"/>
  <c r="AA280" i="8"/>
  <c r="AA279" i="8"/>
  <c r="AA278" i="8"/>
  <c r="AA277" i="8"/>
  <c r="AA276" i="8"/>
  <c r="AA275" i="8"/>
  <c r="AA274" i="8"/>
  <c r="AA273" i="8"/>
  <c r="AA272" i="8"/>
  <c r="AA271" i="8"/>
  <c r="AA270" i="8"/>
  <c r="AA269" i="8"/>
  <c r="AA268" i="8"/>
  <c r="AA267" i="8"/>
  <c r="AA266" i="8"/>
  <c r="AA265" i="8"/>
  <c r="AA264" i="8"/>
  <c r="AA263" i="8"/>
  <c r="AA262" i="8"/>
  <c r="AA261" i="8"/>
  <c r="AA260" i="8"/>
  <c r="AA259" i="8"/>
  <c r="AA258" i="8"/>
  <c r="AA257" i="8"/>
  <c r="AA256" i="8"/>
  <c r="AA255" i="8"/>
  <c r="AA254" i="8"/>
  <c r="AA253" i="8"/>
  <c r="AA252" i="8"/>
  <c r="AA251" i="8"/>
  <c r="AA250" i="8"/>
  <c r="AA249" i="8"/>
  <c r="AA248" i="8"/>
  <c r="AA247" i="8"/>
  <c r="AA246" i="8"/>
  <c r="AA245" i="8"/>
  <c r="AA244" i="8"/>
  <c r="AA243" i="8"/>
  <c r="AA242" i="8"/>
  <c r="AA241" i="8"/>
  <c r="AA240" i="8"/>
  <c r="AA239" i="8"/>
  <c r="AA238" i="8"/>
  <c r="AA237" i="8"/>
  <c r="AA236" i="8"/>
  <c r="AA235" i="8"/>
  <c r="AA234" i="8"/>
  <c r="AA233" i="8"/>
  <c r="AA232" i="8"/>
  <c r="AA231" i="8"/>
  <c r="AA230" i="8"/>
  <c r="AA229" i="8"/>
  <c r="AA228" i="8"/>
  <c r="AA227" i="8"/>
  <c r="AA226" i="8"/>
  <c r="AA225" i="8"/>
  <c r="AA224" i="8"/>
  <c r="AA223" i="8"/>
  <c r="AA222" i="8"/>
  <c r="AA221" i="8"/>
  <c r="AA220" i="8"/>
  <c r="AA219" i="8"/>
  <c r="AA218" i="8"/>
  <c r="AA217" i="8"/>
  <c r="AA216" i="8"/>
  <c r="AA215" i="8"/>
  <c r="AA214" i="8"/>
  <c r="AA213" i="8"/>
  <c r="AA212" i="8"/>
  <c r="AA211" i="8"/>
  <c r="AA210" i="8"/>
  <c r="AA209" i="8"/>
  <c r="AA208" i="8"/>
  <c r="AA207" i="8"/>
  <c r="AA206" i="8"/>
  <c r="AA205" i="8"/>
  <c r="AA204" i="8"/>
  <c r="AA203" i="8"/>
  <c r="F203" i="8"/>
  <c r="E203" i="8"/>
  <c r="AA202" i="8"/>
  <c r="F202" i="8"/>
  <c r="E202" i="8"/>
  <c r="AA201" i="8"/>
  <c r="F201" i="8"/>
  <c r="E201" i="8"/>
  <c r="AA200" i="8"/>
  <c r="F200" i="8"/>
  <c r="E200" i="8"/>
  <c r="AA199" i="8"/>
  <c r="F199" i="8"/>
  <c r="E199" i="8"/>
  <c r="AA198" i="8"/>
  <c r="F198" i="8"/>
  <c r="E198" i="8"/>
  <c r="AA197" i="8"/>
  <c r="F197" i="8"/>
  <c r="E197" i="8"/>
  <c r="AA196" i="8"/>
  <c r="F196" i="8"/>
  <c r="E196" i="8"/>
  <c r="AA195" i="8"/>
  <c r="F195" i="8"/>
  <c r="E195" i="8"/>
  <c r="AA194" i="8"/>
  <c r="F194" i="8"/>
  <c r="E194" i="8"/>
  <c r="AA193" i="8"/>
  <c r="F193" i="8"/>
  <c r="E193" i="8"/>
  <c r="AA192" i="8"/>
  <c r="F192" i="8"/>
  <c r="E192" i="8"/>
  <c r="AA191" i="8"/>
  <c r="F191" i="8"/>
  <c r="E191" i="8"/>
  <c r="AA190" i="8"/>
  <c r="F190" i="8"/>
  <c r="E190" i="8"/>
  <c r="AA189" i="8"/>
  <c r="F189" i="8"/>
  <c r="E189" i="8"/>
  <c r="AA188" i="8"/>
  <c r="F188" i="8"/>
  <c r="E188" i="8"/>
  <c r="AA187" i="8"/>
  <c r="F187" i="8"/>
  <c r="E187" i="8"/>
  <c r="AA186" i="8"/>
  <c r="F186" i="8"/>
  <c r="E186" i="8"/>
  <c r="AA185" i="8"/>
  <c r="F185" i="8"/>
  <c r="E185" i="8"/>
  <c r="AA184" i="8"/>
  <c r="F184" i="8"/>
  <c r="E184" i="8"/>
  <c r="AA183" i="8"/>
  <c r="F183" i="8"/>
  <c r="E183" i="8"/>
  <c r="AA182" i="8"/>
  <c r="F182" i="8"/>
  <c r="E182" i="8"/>
  <c r="AA181" i="8"/>
  <c r="F181" i="8"/>
  <c r="E181" i="8"/>
  <c r="AA180" i="8"/>
  <c r="F180" i="8"/>
  <c r="E180" i="8"/>
  <c r="AA179" i="8"/>
  <c r="F179" i="8"/>
  <c r="E179" i="8"/>
  <c r="AA178" i="8"/>
  <c r="F178" i="8"/>
  <c r="E178" i="8"/>
  <c r="AA177" i="8"/>
  <c r="F177" i="8"/>
  <c r="E177" i="8"/>
  <c r="AA176" i="8"/>
  <c r="F176" i="8"/>
  <c r="E176" i="8"/>
  <c r="AA175" i="8"/>
  <c r="F175" i="8"/>
  <c r="E175" i="8"/>
  <c r="AA174" i="8"/>
  <c r="F174" i="8"/>
  <c r="E174" i="8"/>
  <c r="AA173" i="8"/>
  <c r="F173" i="8"/>
  <c r="E173" i="8"/>
  <c r="AA172" i="8"/>
  <c r="F172" i="8"/>
  <c r="E172" i="8"/>
  <c r="AA171" i="8"/>
  <c r="F171" i="8"/>
  <c r="E171" i="8"/>
  <c r="AA170" i="8"/>
  <c r="F170" i="8"/>
  <c r="E170" i="8"/>
  <c r="AA169" i="8"/>
  <c r="F169" i="8"/>
  <c r="E169" i="8"/>
  <c r="AA168" i="8"/>
  <c r="F168" i="8"/>
  <c r="E168" i="8"/>
  <c r="AA167" i="8"/>
  <c r="F167" i="8"/>
  <c r="E167" i="8"/>
  <c r="AA166" i="8"/>
  <c r="F166" i="8"/>
  <c r="E166" i="8"/>
  <c r="AA165" i="8"/>
  <c r="F165" i="8"/>
  <c r="E165" i="8"/>
  <c r="AA164" i="8"/>
  <c r="F164" i="8"/>
  <c r="E164" i="8"/>
  <c r="AA163" i="8"/>
  <c r="F163" i="8"/>
  <c r="E163" i="8"/>
  <c r="AA162" i="8"/>
  <c r="F162" i="8"/>
  <c r="E162" i="8"/>
  <c r="AA161" i="8"/>
  <c r="F161" i="8"/>
  <c r="E161" i="8"/>
  <c r="AA160" i="8"/>
  <c r="F160" i="8"/>
  <c r="E160" i="8"/>
  <c r="AA159" i="8"/>
  <c r="F159" i="8"/>
  <c r="E159" i="8"/>
  <c r="AA158" i="8"/>
  <c r="F158" i="8"/>
  <c r="E158" i="8"/>
  <c r="AA157" i="8"/>
  <c r="F157" i="8"/>
  <c r="E157" i="8"/>
  <c r="AA156" i="8"/>
  <c r="F156" i="8"/>
  <c r="E156" i="8"/>
  <c r="AA155" i="8"/>
  <c r="F155" i="8"/>
  <c r="E155" i="8"/>
  <c r="AA154" i="8"/>
  <c r="F154" i="8"/>
  <c r="E154" i="8"/>
  <c r="AA153" i="8"/>
  <c r="F153" i="8"/>
  <c r="E153" i="8"/>
  <c r="AA152" i="8"/>
  <c r="F152" i="8"/>
  <c r="E152" i="8"/>
  <c r="AA151" i="8"/>
  <c r="F151" i="8"/>
  <c r="E151" i="8"/>
  <c r="AA150" i="8"/>
  <c r="F150" i="8"/>
  <c r="E150" i="8"/>
  <c r="AA149" i="8"/>
  <c r="F149" i="8"/>
  <c r="E149" i="8"/>
  <c r="AA148" i="8"/>
  <c r="F148" i="8"/>
  <c r="E148" i="8"/>
  <c r="AA147" i="8"/>
  <c r="F147" i="8"/>
  <c r="E147" i="8"/>
  <c r="AA146" i="8"/>
  <c r="F146" i="8"/>
  <c r="E146" i="8"/>
  <c r="AA145" i="8"/>
  <c r="F145" i="8"/>
  <c r="E145" i="8"/>
  <c r="AA144" i="8"/>
  <c r="F144" i="8"/>
  <c r="E144" i="8"/>
  <c r="AA143" i="8"/>
  <c r="F143" i="8"/>
  <c r="E143" i="8"/>
  <c r="AA142" i="8"/>
  <c r="F142" i="8"/>
  <c r="E142" i="8"/>
  <c r="AA141" i="8"/>
  <c r="F141" i="8"/>
  <c r="E141" i="8"/>
  <c r="AA140" i="8"/>
  <c r="F140" i="8"/>
  <c r="E140" i="8"/>
  <c r="AA139" i="8"/>
  <c r="F139" i="8"/>
  <c r="E139" i="8"/>
  <c r="AA138" i="8"/>
  <c r="F138" i="8"/>
  <c r="E138" i="8"/>
  <c r="AA137" i="8"/>
  <c r="F137" i="8"/>
  <c r="E137" i="8"/>
  <c r="AA136" i="8"/>
  <c r="F136" i="8"/>
  <c r="E136" i="8"/>
  <c r="AA135" i="8"/>
  <c r="F135" i="8"/>
  <c r="E135" i="8"/>
  <c r="AA134" i="8"/>
  <c r="F134" i="8"/>
  <c r="E134" i="8"/>
  <c r="AA133" i="8"/>
  <c r="F133" i="8"/>
  <c r="E133" i="8"/>
  <c r="AA132" i="8"/>
  <c r="F132" i="8"/>
  <c r="E132" i="8"/>
  <c r="AA131" i="8"/>
  <c r="F131" i="8"/>
  <c r="E131" i="8"/>
  <c r="AA130" i="8"/>
  <c r="F130" i="8"/>
  <c r="E130" i="8"/>
  <c r="AA129" i="8"/>
  <c r="F129" i="8"/>
  <c r="E129" i="8"/>
  <c r="AA128" i="8"/>
  <c r="F128" i="8"/>
  <c r="E128" i="8"/>
  <c r="AA127" i="8"/>
  <c r="F127" i="8"/>
  <c r="E127" i="8"/>
  <c r="AA126" i="8"/>
  <c r="F126" i="8"/>
  <c r="E126" i="8"/>
  <c r="AA125" i="8"/>
  <c r="F125" i="8"/>
  <c r="E125" i="8"/>
  <c r="AA124" i="8"/>
  <c r="AB124" i="8" s="1"/>
  <c r="F124" i="8"/>
  <c r="E124" i="8"/>
  <c r="AA123" i="8"/>
  <c r="F123" i="8"/>
  <c r="E123" i="8"/>
  <c r="AA122" i="8"/>
  <c r="F122" i="8"/>
  <c r="E122" i="8"/>
  <c r="AA121" i="8"/>
  <c r="F121" i="8"/>
  <c r="E121" i="8"/>
  <c r="AA120" i="8"/>
  <c r="F120" i="8"/>
  <c r="E120" i="8"/>
  <c r="AA119" i="8"/>
  <c r="F119" i="8"/>
  <c r="E119" i="8"/>
  <c r="AA118" i="8"/>
  <c r="F118" i="8"/>
  <c r="E118" i="8"/>
  <c r="AA117" i="8"/>
  <c r="F117" i="8"/>
  <c r="E117" i="8"/>
  <c r="AA116" i="8"/>
  <c r="AB116" i="8" s="1"/>
  <c r="AC116" i="8" s="1"/>
  <c r="F116" i="8"/>
  <c r="E116" i="8"/>
  <c r="AA115" i="8"/>
  <c r="F115" i="8"/>
  <c r="E115" i="8"/>
  <c r="AA114" i="8"/>
  <c r="F114" i="8"/>
  <c r="E114" i="8"/>
  <c r="AA113" i="8"/>
  <c r="F113" i="8"/>
  <c r="E113" i="8"/>
  <c r="AA112" i="8"/>
  <c r="F112" i="8"/>
  <c r="E112" i="8"/>
  <c r="AA111" i="8"/>
  <c r="F111" i="8"/>
  <c r="E111" i="8"/>
  <c r="AA110" i="8"/>
  <c r="F110" i="8"/>
  <c r="E110" i="8"/>
  <c r="AA109" i="8"/>
  <c r="F109" i="8"/>
  <c r="E109" i="8"/>
  <c r="AA108" i="8"/>
  <c r="F108" i="8"/>
  <c r="E108" i="8"/>
  <c r="AA107" i="8"/>
  <c r="F107" i="8"/>
  <c r="E107" i="8"/>
  <c r="AA106" i="8"/>
  <c r="F106" i="8"/>
  <c r="E106" i="8"/>
  <c r="AA105" i="8"/>
  <c r="F105" i="8"/>
  <c r="E105" i="8"/>
  <c r="AA104" i="8"/>
  <c r="AB104" i="8" s="1"/>
  <c r="F104" i="8"/>
  <c r="E104" i="8"/>
  <c r="AA103" i="8"/>
  <c r="F103" i="8"/>
  <c r="E103" i="8"/>
  <c r="AA102" i="8"/>
  <c r="F102" i="8"/>
  <c r="E102" i="8"/>
  <c r="AA101" i="8"/>
  <c r="AB168" i="8" s="1"/>
  <c r="AC168" i="8" s="1"/>
  <c r="F101" i="8"/>
  <c r="E101" i="8"/>
  <c r="AA100" i="8"/>
  <c r="AB100" i="8" s="1"/>
  <c r="AC100" i="8" s="1"/>
  <c r="F100" i="8"/>
  <c r="E100" i="8"/>
  <c r="AA99" i="8"/>
  <c r="F99" i="8"/>
  <c r="E99" i="8"/>
  <c r="AA98" i="8"/>
  <c r="F98" i="8"/>
  <c r="E98" i="8"/>
  <c r="AA97" i="8"/>
  <c r="F97" i="8"/>
  <c r="E97" i="8"/>
  <c r="AA96" i="8"/>
  <c r="AB96" i="8" s="1"/>
  <c r="AC96" i="8" s="1"/>
  <c r="F96" i="8"/>
  <c r="E96" i="8"/>
  <c r="AA95" i="8"/>
  <c r="F95" i="8"/>
  <c r="E95" i="8"/>
  <c r="AA94" i="8"/>
  <c r="AB94" i="8" s="1"/>
  <c r="AC94" i="8" s="1"/>
  <c r="F94" i="8"/>
  <c r="E94" i="8"/>
  <c r="AA93" i="8"/>
  <c r="F93" i="8"/>
  <c r="E93" i="8"/>
  <c r="AA92" i="8"/>
  <c r="F92" i="8"/>
  <c r="E92" i="8"/>
  <c r="AA91" i="8"/>
  <c r="AB91" i="8" s="1"/>
  <c r="AC91" i="8" s="1"/>
  <c r="F91" i="8"/>
  <c r="E91" i="8"/>
  <c r="AA90" i="8"/>
  <c r="F90" i="8"/>
  <c r="E90" i="8"/>
  <c r="AA89" i="8"/>
  <c r="AB89" i="8" s="1"/>
  <c r="AC89" i="8" s="1"/>
  <c r="F89" i="8"/>
  <c r="E89" i="8"/>
  <c r="AA88" i="8"/>
  <c r="F88" i="8"/>
  <c r="E88" i="8"/>
  <c r="AA87" i="8"/>
  <c r="F87" i="8"/>
  <c r="E87" i="8"/>
  <c r="AA86" i="8"/>
  <c r="F86" i="8"/>
  <c r="E86" i="8"/>
  <c r="AA85" i="8"/>
  <c r="AB85" i="8" s="1"/>
  <c r="AC85" i="8" s="1"/>
  <c r="F85" i="8"/>
  <c r="E85" i="8"/>
  <c r="AA84" i="8"/>
  <c r="F84" i="8"/>
  <c r="E84" i="8"/>
  <c r="AA83" i="8"/>
  <c r="F83" i="8"/>
  <c r="E83" i="8"/>
  <c r="AA82" i="8"/>
  <c r="F82" i="8"/>
  <c r="E82" i="8"/>
  <c r="AA81" i="8"/>
  <c r="F81" i="8"/>
  <c r="E81" i="8"/>
  <c r="AA80" i="8"/>
  <c r="F80" i="8"/>
  <c r="E80" i="8"/>
  <c r="AA79" i="8"/>
  <c r="F79" i="8"/>
  <c r="E79" i="8"/>
  <c r="AA78" i="8"/>
  <c r="F78" i="8"/>
  <c r="E78" i="8"/>
  <c r="AA77" i="8"/>
  <c r="F77" i="8"/>
  <c r="E77" i="8"/>
  <c r="AA76" i="8"/>
  <c r="F76" i="8"/>
  <c r="E76" i="8"/>
  <c r="AA75" i="8"/>
  <c r="F75" i="8"/>
  <c r="E75" i="8"/>
  <c r="AA74" i="8"/>
  <c r="F74" i="8"/>
  <c r="E74" i="8"/>
  <c r="AA73" i="8"/>
  <c r="F73" i="8"/>
  <c r="E73" i="8"/>
  <c r="AA72" i="8"/>
  <c r="F72" i="8"/>
  <c r="E72" i="8"/>
  <c r="AA71" i="8"/>
  <c r="F71" i="8"/>
  <c r="E71" i="8"/>
  <c r="AA70" i="8"/>
  <c r="F70" i="8"/>
  <c r="E70" i="8"/>
  <c r="AA69" i="8"/>
  <c r="F69" i="8"/>
  <c r="E69" i="8"/>
  <c r="AA68" i="8"/>
  <c r="AB68" i="8" s="1"/>
  <c r="AC68" i="8" s="1"/>
  <c r="F68" i="8"/>
  <c r="E68" i="8"/>
  <c r="AA67" i="8"/>
  <c r="AB67" i="8" s="1"/>
  <c r="AC67" i="8" s="1"/>
  <c r="F67" i="8"/>
  <c r="E67" i="8"/>
  <c r="AA66" i="8"/>
  <c r="F66" i="8"/>
  <c r="E66" i="8"/>
  <c r="AA65" i="8"/>
  <c r="F65" i="8"/>
  <c r="E65" i="8"/>
  <c r="AA64" i="8"/>
  <c r="AB64" i="8" s="1"/>
  <c r="AC64" i="8" s="1"/>
  <c r="F64" i="8"/>
  <c r="E64" i="8"/>
  <c r="AA63" i="8"/>
  <c r="F63" i="8"/>
  <c r="E63" i="8"/>
  <c r="AA62" i="8"/>
  <c r="AB62" i="8" s="1"/>
  <c r="AC62" i="8" s="1"/>
  <c r="F62" i="8"/>
  <c r="E62" i="8"/>
  <c r="AA61" i="8"/>
  <c r="F61" i="8"/>
  <c r="E61" i="8"/>
  <c r="AA60" i="8"/>
  <c r="F60" i="8"/>
  <c r="E60" i="8"/>
  <c r="AA59" i="8"/>
  <c r="AB59" i="8" s="1"/>
  <c r="AC59" i="8" s="1"/>
  <c r="F59" i="8"/>
  <c r="E59" i="8"/>
  <c r="AA58" i="8"/>
  <c r="F58" i="8"/>
  <c r="E58" i="8"/>
  <c r="AA57" i="8"/>
  <c r="F57" i="8"/>
  <c r="E57" i="8"/>
  <c r="AA56" i="8"/>
  <c r="F56" i="8"/>
  <c r="E56" i="8"/>
  <c r="AA55" i="8"/>
  <c r="AB55" i="8" s="1"/>
  <c r="AC55" i="8" s="1"/>
  <c r="F55" i="8"/>
  <c r="E55" i="8"/>
  <c r="AA54" i="8"/>
  <c r="F54" i="8"/>
  <c r="E54" i="8"/>
  <c r="AA53" i="8"/>
  <c r="AB53" i="8" s="1"/>
  <c r="AC53" i="8" s="1"/>
  <c r="F53" i="8"/>
  <c r="E53" i="8"/>
  <c r="AA52" i="8"/>
  <c r="F52" i="8"/>
  <c r="E52" i="8"/>
  <c r="AA51" i="8"/>
  <c r="F50" i="8"/>
  <c r="E50" i="8"/>
  <c r="AA50" i="8"/>
  <c r="F49" i="8"/>
  <c r="E49" i="8"/>
  <c r="AA49" i="8"/>
  <c r="AB49" i="8" s="1"/>
  <c r="AC49" i="8" s="1"/>
  <c r="F48" i="8"/>
  <c r="E48" i="8"/>
  <c r="AA48" i="8"/>
  <c r="F38" i="8"/>
  <c r="E38" i="8"/>
  <c r="AA47" i="8"/>
  <c r="F36" i="8"/>
  <c r="E36" i="8"/>
  <c r="AA46" i="8"/>
  <c r="AB46" i="8" s="1"/>
  <c r="AC46" i="8" s="1"/>
  <c r="F34" i="8"/>
  <c r="E34" i="8"/>
  <c r="AA45" i="8"/>
  <c r="F33" i="8"/>
  <c r="E33" i="8"/>
  <c r="AA44" i="8"/>
  <c r="AB44" i="8" s="1"/>
  <c r="AC44" i="8" s="1"/>
  <c r="F31" i="8"/>
  <c r="E31" i="8"/>
  <c r="AA43" i="8"/>
  <c r="F29" i="8"/>
  <c r="E29" i="8"/>
  <c r="AA42" i="8"/>
  <c r="F26" i="8"/>
  <c r="E26" i="8"/>
  <c r="AA41" i="8"/>
  <c r="F24" i="8"/>
  <c r="E24" i="8"/>
  <c r="AA40" i="8"/>
  <c r="AB40" i="8" s="1"/>
  <c r="AC40" i="8" s="1"/>
  <c r="F22" i="8"/>
  <c r="E22" i="8"/>
  <c r="AA39" i="8"/>
  <c r="F20" i="8"/>
  <c r="E20" i="8"/>
  <c r="AA38" i="8"/>
  <c r="AB38" i="8" s="1"/>
  <c r="AC38" i="8" s="1"/>
  <c r="F18" i="8"/>
  <c r="E18" i="8"/>
  <c r="AA37" i="8"/>
  <c r="F15" i="8"/>
  <c r="E15" i="8"/>
  <c r="AA36" i="8"/>
  <c r="F12" i="8"/>
  <c r="E12" i="8"/>
  <c r="AA35" i="8"/>
  <c r="F9" i="8"/>
  <c r="E9" i="8"/>
  <c r="AA34" i="8"/>
  <c r="AB34" i="8" s="1"/>
  <c r="AC34" i="8" s="1"/>
  <c r="F6" i="8"/>
  <c r="E6" i="8"/>
  <c r="AA33" i="8"/>
  <c r="F51" i="8"/>
  <c r="E51" i="8"/>
  <c r="AA32" i="8"/>
  <c r="AB32" i="8" s="1"/>
  <c r="AC32" i="8" s="1"/>
  <c r="F47" i="8"/>
  <c r="E47" i="8"/>
  <c r="AA31" i="8"/>
  <c r="F46" i="8"/>
  <c r="E46" i="8"/>
  <c r="AA30" i="8"/>
  <c r="F45" i="8"/>
  <c r="E45" i="8"/>
  <c r="AA29" i="8"/>
  <c r="AB29" i="8" s="1"/>
  <c r="F44" i="8"/>
  <c r="E44" i="8"/>
  <c r="AA28" i="8"/>
  <c r="F43" i="8"/>
  <c r="E43" i="8"/>
  <c r="AA27" i="8"/>
  <c r="F42" i="8"/>
  <c r="E42" i="8"/>
  <c r="AA26" i="8"/>
  <c r="F41" i="8"/>
  <c r="E41" i="8"/>
  <c r="AA25" i="8"/>
  <c r="F40" i="8"/>
  <c r="E40" i="8"/>
  <c r="AA24" i="8"/>
  <c r="F39" i="8"/>
  <c r="E39" i="8"/>
  <c r="AA23" i="8"/>
  <c r="AB23" i="8" s="1"/>
  <c r="F37" i="8"/>
  <c r="E37" i="8"/>
  <c r="AA22" i="8"/>
  <c r="F35" i="8"/>
  <c r="E35" i="8"/>
  <c r="AA21" i="8"/>
  <c r="F13" i="8"/>
  <c r="E13" i="8"/>
  <c r="AA20" i="8"/>
  <c r="F16" i="8"/>
  <c r="E16" i="8"/>
  <c r="AA19" i="8"/>
  <c r="F32" i="8"/>
  <c r="E32" i="8"/>
  <c r="AA18" i="8"/>
  <c r="F30" i="8"/>
  <c r="E30" i="8"/>
  <c r="AA17" i="8"/>
  <c r="F28" i="8"/>
  <c r="E28" i="8"/>
  <c r="AA16" i="8"/>
  <c r="AB16" i="8" s="1"/>
  <c r="F27" i="8"/>
  <c r="E27" i="8"/>
  <c r="AA15" i="8"/>
  <c r="F7" i="8"/>
  <c r="E7" i="8"/>
  <c r="AA14" i="8"/>
  <c r="F25" i="8"/>
  <c r="E25" i="8"/>
  <c r="AA13" i="8"/>
  <c r="F23" i="8"/>
  <c r="E23" i="8"/>
  <c r="AA12" i="8"/>
  <c r="F21" i="8"/>
  <c r="E21" i="8"/>
  <c r="AB11" i="8"/>
  <c r="AA11" i="8"/>
  <c r="F19" i="8"/>
  <c r="E19" i="8"/>
  <c r="AA10" i="8"/>
  <c r="AB10" i="8" s="1"/>
  <c r="F17" i="8"/>
  <c r="E17" i="8"/>
  <c r="AA9" i="8"/>
  <c r="F14" i="8"/>
  <c r="E14" i="8"/>
  <c r="AA8" i="8"/>
  <c r="F5" i="8"/>
  <c r="E5" i="8"/>
  <c r="AA7" i="8"/>
  <c r="AB7" i="8" s="1"/>
  <c r="F11" i="8"/>
  <c r="E11" i="8"/>
  <c r="AA6" i="8"/>
  <c r="F10" i="8"/>
  <c r="E10" i="8"/>
  <c r="AA5" i="8"/>
  <c r="AB5" i="8" s="1"/>
  <c r="F8" i="8"/>
  <c r="E8" i="8"/>
  <c r="AA4" i="8"/>
  <c r="F4" i="8"/>
  <c r="E4" i="8"/>
  <c r="AA3" i="8"/>
  <c r="AB3" i="8" s="1"/>
  <c r="AA2" i="8"/>
  <c r="AB17" i="8" s="1"/>
  <c r="AB1" i="8"/>
  <c r="AC1" i="8" s="1"/>
  <c r="AA1" i="8"/>
  <c r="AB100" i="18" l="1"/>
  <c r="AC100" i="18" s="1"/>
  <c r="AB112" i="18"/>
  <c r="AC112" i="18" s="1"/>
  <c r="AB99" i="10"/>
  <c r="AB100" i="10"/>
  <c r="AC100" i="10" s="1"/>
  <c r="AB94" i="10"/>
  <c r="AB69" i="10"/>
  <c r="AC69" i="10" s="1"/>
  <c r="AB167" i="7"/>
  <c r="AC167" i="7" s="1"/>
  <c r="AB208" i="7"/>
  <c r="AC208" i="7" s="1"/>
  <c r="AB177" i="8"/>
  <c r="AC177" i="8" s="1"/>
  <c r="AB249" i="8"/>
  <c r="AC249" i="8" s="1"/>
  <c r="AB265" i="8"/>
  <c r="AC265" i="8" s="1"/>
  <c r="AB325" i="8"/>
  <c r="AC325" i="8" s="1"/>
  <c r="AB250" i="8"/>
  <c r="AC250" i="8" s="1"/>
  <c r="AB151" i="8"/>
  <c r="AC151" i="8" s="1"/>
  <c r="AB192" i="8"/>
  <c r="AC192" i="8" s="1"/>
  <c r="AB222" i="8"/>
  <c r="AC222" i="8" s="1"/>
  <c r="AB274" i="8"/>
  <c r="AC274" i="8" s="1"/>
  <c r="AB302" i="8"/>
  <c r="AC302" i="8" s="1"/>
  <c r="AB326" i="8"/>
  <c r="AC326" i="8" s="1"/>
  <c r="AB209" i="8"/>
  <c r="AC209" i="8" s="1"/>
  <c r="AB273" i="8"/>
  <c r="AC273" i="8" s="1"/>
  <c r="AB377" i="8"/>
  <c r="AC377" i="8" s="1"/>
  <c r="AB135" i="8"/>
  <c r="AC135" i="8" s="1"/>
  <c r="AB102" i="8"/>
  <c r="AB195" i="8"/>
  <c r="AC195" i="8" s="1"/>
  <c r="AB251" i="8"/>
  <c r="AC251" i="8" s="1"/>
  <c r="AB259" i="8"/>
  <c r="AC259" i="8" s="1"/>
  <c r="AB275" i="8"/>
  <c r="AC275" i="8" s="1"/>
  <c r="AB327" i="8"/>
  <c r="AC327" i="8" s="1"/>
  <c r="AB335" i="8"/>
  <c r="AC335" i="8" s="1"/>
  <c r="AB347" i="8"/>
  <c r="AC347" i="8" s="1"/>
  <c r="AB355" i="8"/>
  <c r="AC355" i="8" s="1"/>
  <c r="AB379" i="8"/>
  <c r="AC379" i="8" s="1"/>
  <c r="AB391" i="8"/>
  <c r="AC391" i="8" s="1"/>
  <c r="AB156" i="8"/>
  <c r="AC156" i="8" s="1"/>
  <c r="AB261" i="8"/>
  <c r="AC261" i="8" s="1"/>
  <c r="AB107" i="8"/>
  <c r="AB221" i="8"/>
  <c r="AC221" i="8" s="1"/>
  <c r="AB133" i="8"/>
  <c r="AC133" i="8" s="1"/>
  <c r="AB137" i="8"/>
  <c r="AC137" i="8" s="1"/>
  <c r="AB153" i="8"/>
  <c r="AC153" i="8" s="1"/>
  <c r="AB208" i="8"/>
  <c r="AC208" i="8" s="1"/>
  <c r="AB216" i="8"/>
  <c r="AC216" i="8" s="1"/>
  <c r="AB232" i="8"/>
  <c r="AC232" i="8" s="1"/>
  <c r="AB260" i="8"/>
  <c r="AC260" i="8" s="1"/>
  <c r="AB264" i="8"/>
  <c r="AC264" i="8" s="1"/>
  <c r="AB284" i="8"/>
  <c r="AC284" i="8" s="1"/>
  <c r="AB312" i="8"/>
  <c r="AC312" i="8" s="1"/>
  <c r="AB364" i="8"/>
  <c r="AC364" i="8" s="1"/>
  <c r="AB191" i="7"/>
  <c r="AC191" i="7" s="1"/>
  <c r="AB74" i="7"/>
  <c r="AC74" i="7" s="1"/>
  <c r="AB86" i="7"/>
  <c r="AC86" i="7" s="1"/>
  <c r="AB114" i="7"/>
  <c r="AC114" i="7" s="1"/>
  <c r="AB316" i="7"/>
  <c r="AC316" i="7" s="1"/>
  <c r="AB70" i="10"/>
  <c r="AB97" i="10"/>
  <c r="AC97" i="10" s="1"/>
  <c r="AB302" i="7"/>
  <c r="AC302" i="7" s="1"/>
  <c r="AC80" i="10"/>
  <c r="AB83" i="7"/>
  <c r="AC83" i="7" s="1"/>
  <c r="AB80" i="7"/>
  <c r="AB108" i="7"/>
  <c r="AC108" i="7" s="1"/>
  <c r="AB180" i="7"/>
  <c r="AC180" i="7" s="1"/>
  <c r="AB211" i="7"/>
  <c r="AC211" i="7" s="1"/>
  <c r="AB307" i="7"/>
  <c r="AC307" i="7" s="1"/>
  <c r="AB95" i="10"/>
  <c r="AB317" i="7"/>
  <c r="AC317" i="7" s="1"/>
  <c r="AB336" i="7"/>
  <c r="AC336" i="7" s="1"/>
  <c r="AB157" i="7"/>
  <c r="AC157" i="7" s="1"/>
  <c r="AB212" i="7"/>
  <c r="AC212" i="7" s="1"/>
  <c r="AB228" i="7"/>
  <c r="AC228" i="7" s="1"/>
  <c r="AB292" i="7"/>
  <c r="AC292" i="7" s="1"/>
  <c r="AB83" i="10"/>
  <c r="AC83" i="10" s="1"/>
  <c r="AB88" i="10"/>
  <c r="AC88" i="10" s="1"/>
  <c r="AB96" i="10"/>
  <c r="AB101" i="10"/>
  <c r="AB180" i="9"/>
  <c r="AC180" i="9" s="1"/>
  <c r="AB213" i="9"/>
  <c r="AC213" i="9" s="1"/>
  <c r="AB368" i="9"/>
  <c r="AC368" i="9" s="1"/>
  <c r="AB384" i="9"/>
  <c r="AC384" i="9" s="1"/>
  <c r="AB133" i="9"/>
  <c r="AC133" i="9" s="1"/>
  <c r="AB185" i="9"/>
  <c r="AC185" i="9" s="1"/>
  <c r="A8" i="8"/>
  <c r="A10" i="8"/>
  <c r="A4" i="8"/>
  <c r="AC3" i="8"/>
  <c r="AB367" i="9"/>
  <c r="AC367" i="9" s="1"/>
  <c r="AB263" i="7"/>
  <c r="AC263" i="7" s="1"/>
  <c r="AB141" i="9"/>
  <c r="AC141" i="9" s="1"/>
  <c r="AB229" i="9"/>
  <c r="AC229" i="9" s="1"/>
  <c r="AB157" i="8"/>
  <c r="AC157" i="8" s="1"/>
  <c r="AB380" i="8"/>
  <c r="AC380" i="8" s="1"/>
  <c r="AB353" i="7"/>
  <c r="AC353" i="7" s="1"/>
  <c r="AB332" i="9"/>
  <c r="AC332" i="9" s="1"/>
  <c r="AB233" i="8"/>
  <c r="AC233" i="8" s="1"/>
  <c r="AB161" i="7"/>
  <c r="AC161" i="7" s="1"/>
  <c r="AB270" i="9"/>
  <c r="AC270" i="9" s="1"/>
  <c r="AB381" i="8"/>
  <c r="AC381" i="8" s="1"/>
  <c r="AB116" i="9"/>
  <c r="AC116" i="9" s="1"/>
  <c r="AB272" i="9"/>
  <c r="AC272" i="9" s="1"/>
  <c r="AB160" i="8"/>
  <c r="AC160" i="8" s="1"/>
  <c r="AB37" i="8"/>
  <c r="AC37" i="8" s="1"/>
  <c r="AB114" i="8"/>
  <c r="AB252" i="8"/>
  <c r="AC252" i="8" s="1"/>
  <c r="AB44" i="9"/>
  <c r="AC44" i="9" s="1"/>
  <c r="AB237" i="8"/>
  <c r="AC237" i="8" s="1"/>
  <c r="AB229" i="7"/>
  <c r="AC229" i="7" s="1"/>
  <c r="AB31" i="8"/>
  <c r="AC31" i="8" s="1"/>
  <c r="AB184" i="8"/>
  <c r="AC184" i="8" s="1"/>
  <c r="AB141" i="7"/>
  <c r="AC141" i="7" s="1"/>
  <c r="AB126" i="8"/>
  <c r="AC126" i="8" s="1"/>
  <c r="AB287" i="8"/>
  <c r="AC287" i="8" s="1"/>
  <c r="AB336" i="8"/>
  <c r="AC336" i="8" s="1"/>
  <c r="AB101" i="9"/>
  <c r="AC101" i="9" s="1"/>
  <c r="AB114" i="18"/>
  <c r="AC114" i="18" s="1"/>
  <c r="AB111" i="8"/>
  <c r="AB362" i="7"/>
  <c r="AC362" i="7" s="1"/>
  <c r="AB30" i="9"/>
  <c r="AC30" i="9" s="1"/>
  <c r="AB356" i="8"/>
  <c r="AC356" i="8" s="1"/>
  <c r="AB47" i="8"/>
  <c r="AC47" i="8" s="1"/>
  <c r="AB274" i="7"/>
  <c r="AC274" i="7" s="1"/>
  <c r="AB383" i="9"/>
  <c r="AC383" i="9" s="1"/>
  <c r="AB243" i="8"/>
  <c r="AC243" i="8" s="1"/>
  <c r="AB390" i="8"/>
  <c r="AC390" i="8" s="1"/>
  <c r="AB104" i="7"/>
  <c r="AB189" i="8"/>
  <c r="AC189" i="8" s="1"/>
  <c r="AB256" i="7"/>
  <c r="AC256" i="7" s="1"/>
  <c r="AB61" i="9"/>
  <c r="AC61" i="9" s="1"/>
  <c r="AB9" i="8"/>
  <c r="AB21" i="8"/>
  <c r="AB86" i="8"/>
  <c r="AC86" i="8" s="1"/>
  <c r="AB138" i="8"/>
  <c r="AC138" i="8" s="1"/>
  <c r="AB145" i="8"/>
  <c r="AC145" i="8" s="1"/>
  <c r="AB201" i="8"/>
  <c r="AC201" i="8" s="1"/>
  <c r="AB210" i="8"/>
  <c r="AC210" i="8" s="1"/>
  <c r="AB276" i="8"/>
  <c r="AC276" i="8" s="1"/>
  <c r="AB106" i="7"/>
  <c r="AB257" i="7"/>
  <c r="AC257" i="7" s="1"/>
  <c r="AB368" i="7"/>
  <c r="AC368" i="7" s="1"/>
  <c r="AB7" i="9"/>
  <c r="AB12" i="9"/>
  <c r="AC12" i="9" s="1"/>
  <c r="AB41" i="9"/>
  <c r="AC41" i="9" s="1"/>
  <c r="AB119" i="9"/>
  <c r="AC119" i="9" s="1"/>
  <c r="AB28" i="9"/>
  <c r="AC28" i="9" s="1"/>
  <c r="AB331" i="9"/>
  <c r="AC331" i="9" s="1"/>
  <c r="AB282" i="8"/>
  <c r="AC282" i="8" s="1"/>
  <c r="AB88" i="9"/>
  <c r="AC88" i="9" s="1"/>
  <c r="AB143" i="8"/>
  <c r="AC143" i="8" s="1"/>
  <c r="AB283" i="8"/>
  <c r="AC283" i="8" s="1"/>
  <c r="AB301" i="7"/>
  <c r="AC301" i="7" s="1"/>
  <c r="AB18" i="9"/>
  <c r="AC18" i="9" s="1"/>
  <c r="AB164" i="8"/>
  <c r="AC164" i="8" s="1"/>
  <c r="AB365" i="8"/>
  <c r="AC365" i="8" s="1"/>
  <c r="AB4" i="9"/>
  <c r="AC4" i="9" s="1"/>
  <c r="AB129" i="8"/>
  <c r="AC129" i="8" s="1"/>
  <c r="AB317" i="8"/>
  <c r="AC317" i="8" s="1"/>
  <c r="AB399" i="8"/>
  <c r="AC399" i="8" s="1"/>
  <c r="AB13" i="8"/>
  <c r="AB172" i="8"/>
  <c r="AC172" i="8" s="1"/>
  <c r="AB318" i="7"/>
  <c r="AC318" i="7" s="1"/>
  <c r="AB253" i="9"/>
  <c r="AC253" i="9" s="1"/>
  <c r="AB58" i="8"/>
  <c r="AC58" i="8" s="1"/>
  <c r="AB161" i="8"/>
  <c r="AC161" i="8" s="1"/>
  <c r="AB205" i="8"/>
  <c r="AC205" i="8" s="1"/>
  <c r="AB368" i="8"/>
  <c r="AC368" i="8" s="1"/>
  <c r="AB103" i="7"/>
  <c r="AC103" i="7" s="1"/>
  <c r="AB70" i="8"/>
  <c r="AC70" i="8" s="1"/>
  <c r="AB303" i="8"/>
  <c r="AC303" i="8" s="1"/>
  <c r="AB249" i="7"/>
  <c r="AC249" i="7" s="1"/>
  <c r="AB238" i="8"/>
  <c r="AC238" i="8" s="1"/>
  <c r="AB386" i="8"/>
  <c r="AC386" i="8" s="1"/>
  <c r="AB360" i="7"/>
  <c r="AC360" i="7" s="1"/>
  <c r="AB154" i="9"/>
  <c r="AC154" i="9" s="1"/>
  <c r="AB256" i="9"/>
  <c r="AC256" i="9" s="1"/>
  <c r="AB361" i="7"/>
  <c r="AC361" i="7" s="1"/>
  <c r="AC14" i="7"/>
  <c r="AB202" i="9"/>
  <c r="AC202" i="9" s="1"/>
  <c r="AB202" i="7"/>
  <c r="AC202" i="7" s="1"/>
  <c r="AB20" i="8"/>
  <c r="AB141" i="8"/>
  <c r="AC141" i="8" s="1"/>
  <c r="AB119" i="7"/>
  <c r="AC119" i="7" s="1"/>
  <c r="AB301" i="9"/>
  <c r="AC301" i="9" s="1"/>
  <c r="AB35" i="8"/>
  <c r="AC35" i="8" s="1"/>
  <c r="AB77" i="8"/>
  <c r="AC77" i="8" s="1"/>
  <c r="AB130" i="8"/>
  <c r="AC130" i="8" s="1"/>
  <c r="AB128" i="7"/>
  <c r="AC128" i="7" s="1"/>
  <c r="AB376" i="8"/>
  <c r="AC376" i="8" s="1"/>
  <c r="AB293" i="7"/>
  <c r="AC293" i="7" s="1"/>
  <c r="AB185" i="8"/>
  <c r="AC185" i="8" s="1"/>
  <c r="AB311" i="8"/>
  <c r="AC311" i="8" s="1"/>
  <c r="AB195" i="7"/>
  <c r="AC195" i="7" s="1"/>
  <c r="AB26" i="9"/>
  <c r="AC26" i="9" s="1"/>
  <c r="AB63" i="8"/>
  <c r="AC63" i="8" s="1"/>
  <c r="AB174" i="8"/>
  <c r="AC174" i="8" s="1"/>
  <c r="AB295" i="8"/>
  <c r="AC295" i="8" s="1"/>
  <c r="AB122" i="7"/>
  <c r="AC122" i="7" s="1"/>
  <c r="AB239" i="7"/>
  <c r="AC239" i="7" s="1"/>
  <c r="AB277" i="7"/>
  <c r="AC277" i="7" s="1"/>
  <c r="AB330" i="7"/>
  <c r="AC330" i="7" s="1"/>
  <c r="AB349" i="7"/>
  <c r="AC349" i="7" s="1"/>
  <c r="AB211" i="9"/>
  <c r="AC211" i="9" s="1"/>
  <c r="AB3" i="9"/>
  <c r="AB242" i="9"/>
  <c r="AC242" i="9" s="1"/>
  <c r="AB146" i="9"/>
  <c r="AC146" i="9" s="1"/>
  <c r="AB149" i="9"/>
  <c r="AC149" i="9" s="1"/>
  <c r="AB70" i="9"/>
  <c r="AC70" i="9" s="1"/>
  <c r="AB329" i="9"/>
  <c r="AC329" i="9" s="1"/>
  <c r="AB312" i="9"/>
  <c r="AC312" i="9" s="1"/>
  <c r="AB87" i="9"/>
  <c r="AC87" i="9" s="1"/>
  <c r="AB93" i="9"/>
  <c r="AB381" i="9"/>
  <c r="AC381" i="9" s="1"/>
  <c r="AB346" i="9"/>
  <c r="AC346" i="9" s="1"/>
  <c r="AB125" i="9"/>
  <c r="AC125" i="9" s="1"/>
  <c r="AB114" i="9"/>
  <c r="AC114" i="9" s="1"/>
  <c r="AB20" i="9"/>
  <c r="AC20" i="9" s="1"/>
  <c r="AB11" i="9"/>
  <c r="AC11" i="9" s="1"/>
  <c r="AB165" i="9"/>
  <c r="AC165" i="9" s="1"/>
  <c r="AB207" i="9"/>
  <c r="AC207" i="9" s="1"/>
  <c r="AB128" i="9"/>
  <c r="AC128" i="9" s="1"/>
  <c r="AB289" i="9"/>
  <c r="AC289" i="9" s="1"/>
  <c r="AB166" i="9"/>
  <c r="AC166" i="9" s="1"/>
  <c r="AB360" i="9"/>
  <c r="AC360" i="9" s="1"/>
  <c r="AB205" i="9"/>
  <c r="AC205" i="9" s="1"/>
  <c r="AB169" i="9"/>
  <c r="AC169" i="9" s="1"/>
  <c r="AB163" i="9"/>
  <c r="AC163" i="9" s="1"/>
  <c r="AB27" i="9"/>
  <c r="AC27" i="9" s="1"/>
  <c r="AB203" i="9"/>
  <c r="AC203" i="9" s="1"/>
  <c r="AB38" i="9"/>
  <c r="AC38" i="9" s="1"/>
  <c r="AB66" i="9"/>
  <c r="AC66" i="9" s="1"/>
  <c r="AB302" i="9"/>
  <c r="AC302" i="9" s="1"/>
  <c r="AB198" i="9"/>
  <c r="AC198" i="9" s="1"/>
  <c r="AB147" i="9"/>
  <c r="AC147" i="9" s="1"/>
  <c r="AB55" i="9"/>
  <c r="AC55" i="9" s="1"/>
  <c r="AB172" i="9"/>
  <c r="AC172" i="9" s="1"/>
  <c r="AB357" i="9"/>
  <c r="AC357" i="9" s="1"/>
  <c r="AB283" i="9"/>
  <c r="AC283" i="9" s="1"/>
  <c r="AB264" i="9"/>
  <c r="AC264" i="9" s="1"/>
  <c r="AB91" i="9"/>
  <c r="AB318" i="9"/>
  <c r="AC318" i="9" s="1"/>
  <c r="AB193" i="9"/>
  <c r="AC193" i="9" s="1"/>
  <c r="AB153" i="7"/>
  <c r="AC153" i="7" s="1"/>
  <c r="AB181" i="9"/>
  <c r="AC181" i="9" s="1"/>
  <c r="AB226" i="7"/>
  <c r="AC226" i="7" s="1"/>
  <c r="AB158" i="9"/>
  <c r="AC158" i="9" s="1"/>
  <c r="AB218" i="8"/>
  <c r="AC218" i="8" s="1"/>
  <c r="AB13" i="9"/>
  <c r="AC13" i="9" s="1"/>
  <c r="AB230" i="9"/>
  <c r="AC230" i="9" s="1"/>
  <c r="AB81" i="8"/>
  <c r="AC81" i="8" s="1"/>
  <c r="AB105" i="9"/>
  <c r="AC105" i="9" s="1"/>
  <c r="AB337" i="7"/>
  <c r="AC337" i="7" s="1"/>
  <c r="AB176" i="8"/>
  <c r="AC176" i="8" s="1"/>
  <c r="AB52" i="7"/>
  <c r="AB254" i="9"/>
  <c r="AC254" i="9" s="1"/>
  <c r="AB73" i="8"/>
  <c r="AC73" i="8" s="1"/>
  <c r="AB199" i="8"/>
  <c r="AC199" i="8" s="1"/>
  <c r="AB285" i="8"/>
  <c r="AC285" i="8" s="1"/>
  <c r="AB268" i="7"/>
  <c r="AC268" i="7" s="1"/>
  <c r="AB215" i="9"/>
  <c r="AC215" i="9" s="1"/>
  <c r="AB169" i="8"/>
  <c r="AC169" i="8" s="1"/>
  <c r="AB213" i="7"/>
  <c r="AC213" i="7" s="1"/>
  <c r="AB106" i="9"/>
  <c r="AC106" i="9" s="1"/>
  <c r="AB127" i="9"/>
  <c r="AC127" i="9" s="1"/>
  <c r="AB14" i="8"/>
  <c r="AC14" i="8" s="1"/>
  <c r="AB6" i="9"/>
  <c r="AB207" i="8"/>
  <c r="AC207" i="8" s="1"/>
  <c r="AB337" i="8"/>
  <c r="AC337" i="8" s="1"/>
  <c r="AB40" i="9"/>
  <c r="AC40" i="9" s="1"/>
  <c r="AB320" i="9"/>
  <c r="AC320" i="9" s="1"/>
  <c r="AB181" i="8"/>
  <c r="AC181" i="8" s="1"/>
  <c r="AB240" i="8"/>
  <c r="AC240" i="8" s="1"/>
  <c r="AB219" i="9"/>
  <c r="AC219" i="9" s="1"/>
  <c r="AB50" i="8"/>
  <c r="AC50" i="8" s="1"/>
  <c r="AB338" i="7"/>
  <c r="AC338" i="7" s="1"/>
  <c r="AB117" i="18"/>
  <c r="AC117" i="18" s="1"/>
  <c r="AB92" i="8"/>
  <c r="AC92" i="8" s="1"/>
  <c r="AB291" i="8"/>
  <c r="AC291" i="8" s="1"/>
  <c r="AB339" i="8"/>
  <c r="AC339" i="8" s="1"/>
  <c r="AC21" i="7"/>
  <c r="AC9" i="7"/>
  <c r="AB237" i="7"/>
  <c r="AC237" i="7" s="1"/>
  <c r="AB324" i="9"/>
  <c r="AC324" i="9" s="1"/>
  <c r="AB142" i="8"/>
  <c r="AC142" i="8" s="1"/>
  <c r="AB244" i="8"/>
  <c r="AC244" i="8" s="1"/>
  <c r="AB367" i="7"/>
  <c r="AC367" i="7" s="1"/>
  <c r="AB18" i="8"/>
  <c r="AC18" i="8" s="1"/>
  <c r="AB27" i="8"/>
  <c r="AB99" i="8"/>
  <c r="AC99" i="8" s="1"/>
  <c r="AB112" i="8"/>
  <c r="AC112" i="8" s="1"/>
  <c r="AB247" i="8"/>
  <c r="AC247" i="8" s="1"/>
  <c r="AB392" i="8"/>
  <c r="AC392" i="8" s="1"/>
  <c r="AB181" i="7"/>
  <c r="AC181" i="7" s="1"/>
  <c r="AB222" i="7"/>
  <c r="AC222" i="7" s="1"/>
  <c r="AB82" i="9"/>
  <c r="AC82" i="9" s="1"/>
  <c r="AB386" i="9"/>
  <c r="AC386" i="9" s="1"/>
  <c r="AB82" i="16"/>
  <c r="AC82" i="16" s="1"/>
  <c r="AB124" i="16"/>
  <c r="AC124" i="16" s="1"/>
  <c r="AB109" i="9"/>
  <c r="AC109" i="9" s="1"/>
  <c r="AB349" i="8"/>
  <c r="AC349" i="8" s="1"/>
  <c r="AB84" i="9"/>
  <c r="AC84" i="9" s="1"/>
  <c r="AB334" i="8"/>
  <c r="AC334" i="8" s="1"/>
  <c r="AB19" i="8"/>
  <c r="AB76" i="8"/>
  <c r="AC76" i="8" s="1"/>
  <c r="AB191" i="8"/>
  <c r="AC191" i="8" s="1"/>
  <c r="AB232" i="9"/>
  <c r="AC232" i="9" s="1"/>
  <c r="AB288" i="7"/>
  <c r="AC288" i="7" s="1"/>
  <c r="AB25" i="8"/>
  <c r="AC25" i="8" s="1"/>
  <c r="AB158" i="8"/>
  <c r="AC158" i="8" s="1"/>
  <c r="AB353" i="8"/>
  <c r="AC353" i="8" s="1"/>
  <c r="AB289" i="7"/>
  <c r="AC289" i="7" s="1"/>
  <c r="AB2" i="8"/>
  <c r="AC2" i="8" s="1"/>
  <c r="AB65" i="8"/>
  <c r="AC65" i="8" s="1"/>
  <c r="AB43" i="8"/>
  <c r="AC43" i="8" s="1"/>
  <c r="AB397" i="8"/>
  <c r="AC397" i="8" s="1"/>
  <c r="AB328" i="8"/>
  <c r="AC328" i="8" s="1"/>
  <c r="AB82" i="8"/>
  <c r="AC82" i="8" s="1"/>
  <c r="AB88" i="8"/>
  <c r="AC88" i="8" s="1"/>
  <c r="AB230" i="8"/>
  <c r="AC230" i="8" s="1"/>
  <c r="AB178" i="8"/>
  <c r="AC178" i="8" s="1"/>
  <c r="AB173" i="8"/>
  <c r="AC173" i="8" s="1"/>
  <c r="AB97" i="8"/>
  <c r="AC97" i="8" s="1"/>
  <c r="AB24" i="8"/>
  <c r="AB369" i="8"/>
  <c r="AC369" i="8" s="1"/>
  <c r="AB370" i="8"/>
  <c r="AC370" i="8" s="1"/>
  <c r="AB316" i="8"/>
  <c r="AC316" i="8" s="1"/>
  <c r="AB167" i="8"/>
  <c r="AC167" i="8" s="1"/>
  <c r="AB225" i="8"/>
  <c r="AC225" i="8" s="1"/>
  <c r="AB206" i="8"/>
  <c r="AC206" i="8" s="1"/>
  <c r="AB304" i="8"/>
  <c r="AC304" i="8" s="1"/>
  <c r="AB79" i="8"/>
  <c r="AC79" i="8" s="1"/>
  <c r="AB290" i="7"/>
  <c r="AC290" i="7" s="1"/>
  <c r="AB15" i="9"/>
  <c r="AC15" i="9" s="1"/>
  <c r="AB50" i="9"/>
  <c r="AC50" i="9" s="1"/>
  <c r="AB200" i="8"/>
  <c r="AC200" i="8" s="1"/>
  <c r="AB291" i="7"/>
  <c r="AC291" i="7" s="1"/>
  <c r="AB56" i="8"/>
  <c r="AC56" i="8" s="1"/>
  <c r="AB223" i="8"/>
  <c r="AC223" i="8" s="1"/>
  <c r="AB102" i="9"/>
  <c r="AB71" i="8"/>
  <c r="AC71" i="8" s="1"/>
  <c r="AB98" i="8"/>
  <c r="AC98" i="8" s="1"/>
  <c r="AB6" i="8"/>
  <c r="AB166" i="8"/>
  <c r="AC166" i="8" s="1"/>
  <c r="AB4" i="8"/>
  <c r="AC4" i="8" s="1"/>
  <c r="AB93" i="8"/>
  <c r="AC93" i="8" s="1"/>
  <c r="AB139" i="8"/>
  <c r="AC139" i="8" s="1"/>
  <c r="AB186" i="8"/>
  <c r="AC186" i="8" s="1"/>
  <c r="AB248" i="8"/>
  <c r="AC248" i="8" s="1"/>
  <c r="AB262" i="8"/>
  <c r="AC262" i="8" s="1"/>
  <c r="AB296" i="8"/>
  <c r="AC296" i="8" s="1"/>
  <c r="AB362" i="8"/>
  <c r="AC362" i="8" s="1"/>
  <c r="AB393" i="8"/>
  <c r="AC393" i="8" s="1"/>
  <c r="AB85" i="7"/>
  <c r="AB93" i="7"/>
  <c r="AB190" i="7"/>
  <c r="AC190" i="7" s="1"/>
  <c r="AB197" i="7"/>
  <c r="AC197" i="7" s="1"/>
  <c r="AB223" i="7"/>
  <c r="AC223" i="7" s="1"/>
  <c r="AB240" i="7"/>
  <c r="AC240" i="7" s="1"/>
  <c r="AB350" i="7"/>
  <c r="AC350" i="7" s="1"/>
  <c r="AB175" i="9"/>
  <c r="AC175" i="9" s="1"/>
  <c r="AB23" i="16"/>
  <c r="AC23" i="16" s="1"/>
  <c r="AB92" i="16"/>
  <c r="AC92" i="16" s="1"/>
  <c r="AB85" i="16"/>
  <c r="AC85" i="16" s="1"/>
  <c r="AB56" i="16"/>
  <c r="AC56" i="16" s="1"/>
  <c r="AB104" i="16"/>
  <c r="AC104" i="16" s="1"/>
  <c r="AB87" i="16"/>
  <c r="AC87" i="16" s="1"/>
  <c r="AB36" i="8"/>
  <c r="AC36" i="8" s="1"/>
  <c r="AB51" i="8"/>
  <c r="AC51" i="8" s="1"/>
  <c r="AB66" i="8"/>
  <c r="AC66" i="8" s="1"/>
  <c r="AB72" i="8"/>
  <c r="AC72" i="8" s="1"/>
  <c r="AB78" i="8"/>
  <c r="AC78" i="8" s="1"/>
  <c r="AB179" i="8"/>
  <c r="AC179" i="8" s="1"/>
  <c r="AB231" i="8"/>
  <c r="AC231" i="8" s="1"/>
  <c r="AB313" i="8"/>
  <c r="AC313" i="8" s="1"/>
  <c r="AB346" i="8"/>
  <c r="AC346" i="8" s="1"/>
  <c r="AB363" i="8"/>
  <c r="AC363" i="8" s="1"/>
  <c r="AB394" i="8"/>
  <c r="AC394" i="8" s="1"/>
  <c r="AB328" i="7"/>
  <c r="AC328" i="7" s="1"/>
  <c r="AB224" i="7"/>
  <c r="AC224" i="7" s="1"/>
  <c r="AB280" i="7"/>
  <c r="AC280" i="7" s="1"/>
  <c r="AB351" i="7"/>
  <c r="AC351" i="7" s="1"/>
  <c r="AB267" i="9"/>
  <c r="AC267" i="9" s="1"/>
  <c r="AB287" i="9"/>
  <c r="AC287" i="9" s="1"/>
  <c r="AB342" i="8"/>
  <c r="AC342" i="8" s="1"/>
  <c r="AB110" i="7"/>
  <c r="AB158" i="7"/>
  <c r="AC158" i="7" s="1"/>
  <c r="AB340" i="7"/>
  <c r="AC340" i="7" s="1"/>
  <c r="AB60" i="8"/>
  <c r="AC60" i="8" s="1"/>
  <c r="AB212" i="8"/>
  <c r="AC212" i="8" s="1"/>
  <c r="AB54" i="7"/>
  <c r="AB353" i="9"/>
  <c r="AC353" i="9" s="1"/>
  <c r="AB40" i="18"/>
  <c r="AC40" i="18" s="1"/>
  <c r="AB121" i="18"/>
  <c r="AC121" i="18" s="1"/>
  <c r="AB102" i="18"/>
  <c r="AC102" i="18" s="1"/>
  <c r="AB183" i="8"/>
  <c r="AC183" i="8" s="1"/>
  <c r="AB266" i="8"/>
  <c r="AC266" i="8" s="1"/>
  <c r="AB357" i="8"/>
  <c r="AC357" i="8" s="1"/>
  <c r="AB118" i="18"/>
  <c r="AC118" i="18" s="1"/>
  <c r="AB41" i="8"/>
  <c r="AC41" i="8" s="1"/>
  <c r="AB167" i="9"/>
  <c r="AC167" i="9" s="1"/>
  <c r="AB90" i="8"/>
  <c r="AC90" i="8" s="1"/>
  <c r="AB293" i="8"/>
  <c r="AC293" i="8" s="1"/>
  <c r="AB131" i="7"/>
  <c r="AC131" i="7" s="1"/>
  <c r="AB12" i="8"/>
  <c r="AB131" i="8"/>
  <c r="AC131" i="8" s="1"/>
  <c r="AB229" i="8"/>
  <c r="AC229" i="8" s="1"/>
  <c r="AB253" i="8"/>
  <c r="AC253" i="8" s="1"/>
  <c r="AB269" i="8"/>
  <c r="AC269" i="8" s="1"/>
  <c r="AB371" i="8"/>
  <c r="AC371" i="8" s="1"/>
  <c r="AB41" i="7"/>
  <c r="AB82" i="7"/>
  <c r="AC82" i="7" s="1"/>
  <c r="AB91" i="7"/>
  <c r="AB111" i="7"/>
  <c r="AB150" i="7"/>
  <c r="AC150" i="7" s="1"/>
  <c r="AB178" i="7"/>
  <c r="AC178" i="7" s="1"/>
  <c r="AB236" i="7"/>
  <c r="AC236" i="7" s="1"/>
  <c r="AB343" i="7"/>
  <c r="AC343" i="7" s="1"/>
  <c r="AB336" i="9"/>
  <c r="AC336" i="9" s="1"/>
  <c r="AB211" i="8"/>
  <c r="AC211" i="8" s="1"/>
  <c r="AB163" i="7"/>
  <c r="AC163" i="7" s="1"/>
  <c r="AB175" i="8"/>
  <c r="AC175" i="8" s="1"/>
  <c r="AB115" i="8"/>
  <c r="AB162" i="8"/>
  <c r="AC162" i="8" s="1"/>
  <c r="AB196" i="8"/>
  <c r="AC196" i="8" s="1"/>
  <c r="AB226" i="8"/>
  <c r="AC226" i="8" s="1"/>
  <c r="AB292" i="8"/>
  <c r="AC292" i="8" s="1"/>
  <c r="AB344" i="8"/>
  <c r="AC344" i="8" s="1"/>
  <c r="AB398" i="8"/>
  <c r="AC398" i="8" s="1"/>
  <c r="AB359" i="7"/>
  <c r="AC359" i="7" s="1"/>
  <c r="AB170" i="8"/>
  <c r="AC170" i="8" s="1"/>
  <c r="AB294" i="7"/>
  <c r="AC294" i="7" s="1"/>
  <c r="AB54" i="8"/>
  <c r="AC54" i="8" s="1"/>
  <c r="AB202" i="8"/>
  <c r="AC202" i="8" s="1"/>
  <c r="AB154" i="7"/>
  <c r="AC154" i="7" s="1"/>
  <c r="AB108" i="9"/>
  <c r="AC108" i="9" s="1"/>
  <c r="AB282" i="9"/>
  <c r="AC282" i="9" s="1"/>
  <c r="AB80" i="8"/>
  <c r="AC80" i="8" s="1"/>
  <c r="AB118" i="8"/>
  <c r="AB197" i="8"/>
  <c r="AC197" i="8" s="1"/>
  <c r="AB241" i="8"/>
  <c r="AC241" i="8" s="1"/>
  <c r="AB294" i="8"/>
  <c r="AC294" i="8" s="1"/>
  <c r="AB305" i="8"/>
  <c r="AC305" i="8" s="1"/>
  <c r="AB333" i="8"/>
  <c r="AC333" i="8" s="1"/>
  <c r="AB360" i="8"/>
  <c r="AC360" i="8" s="1"/>
  <c r="AB372" i="8"/>
  <c r="AC372" i="8" s="1"/>
  <c r="AB400" i="8"/>
  <c r="AC400" i="8" s="1"/>
  <c r="AB42" i="7"/>
  <c r="AC42" i="7" s="1"/>
  <c r="AB73" i="7"/>
  <c r="AC73" i="7" s="1"/>
  <c r="AB184" i="7"/>
  <c r="AC184" i="7" s="1"/>
  <c r="AB266" i="7"/>
  <c r="AC266" i="7" s="1"/>
  <c r="AB19" i="9"/>
  <c r="AC19" i="9" s="1"/>
  <c r="AB152" i="9"/>
  <c r="AC152" i="9" s="1"/>
  <c r="AB244" i="9"/>
  <c r="AC244" i="9" s="1"/>
  <c r="AB319" i="9"/>
  <c r="AC319" i="9" s="1"/>
  <c r="AB86" i="18"/>
  <c r="AC86" i="18" s="1"/>
  <c r="AB50" i="7"/>
  <c r="AB297" i="7"/>
  <c r="AC297" i="7" s="1"/>
  <c r="AB175" i="7"/>
  <c r="AC175" i="7" s="1"/>
  <c r="AB309" i="7"/>
  <c r="AC309" i="7" s="1"/>
  <c r="AB84" i="7"/>
  <c r="AB323" i="7"/>
  <c r="AC323" i="7" s="1"/>
  <c r="AB142" i="7"/>
  <c r="AC142" i="7" s="1"/>
  <c r="AB76" i="7"/>
  <c r="AC76" i="7" s="1"/>
  <c r="AB308" i="7"/>
  <c r="AC308" i="7" s="1"/>
  <c r="AB154" i="8"/>
  <c r="AC154" i="8" s="1"/>
  <c r="AB4" i="7"/>
  <c r="AB110" i="8"/>
  <c r="AB255" i="8"/>
  <c r="AC255" i="8" s="1"/>
  <c r="AB387" i="8"/>
  <c r="AC387" i="8" s="1"/>
  <c r="AB92" i="7"/>
  <c r="AB117" i="7"/>
  <c r="AC117" i="7" s="1"/>
  <c r="AB135" i="7"/>
  <c r="AC135" i="7" s="1"/>
  <c r="AB145" i="7"/>
  <c r="AC145" i="7" s="1"/>
  <c r="AB179" i="7"/>
  <c r="AC179" i="7" s="1"/>
  <c r="AB206" i="7"/>
  <c r="AC206" i="7" s="1"/>
  <c r="AB221" i="7"/>
  <c r="AC221" i="7" s="1"/>
  <c r="AB250" i="7"/>
  <c r="AC250" i="7" s="1"/>
  <c r="AB281" i="7"/>
  <c r="AC281" i="7" s="1"/>
  <c r="AB95" i="9"/>
  <c r="AB108" i="8"/>
  <c r="AB77" i="7"/>
  <c r="AC77" i="7" s="1"/>
  <c r="AB100" i="7"/>
  <c r="AC100" i="7" s="1"/>
  <c r="AB34" i="9"/>
  <c r="AC34" i="9" s="1"/>
  <c r="AB33" i="8"/>
  <c r="AC33" i="8" s="1"/>
  <c r="AB69" i="8"/>
  <c r="AC69" i="8" s="1"/>
  <c r="AB165" i="8"/>
  <c r="AC165" i="8" s="1"/>
  <c r="AB242" i="8"/>
  <c r="AC242" i="8" s="1"/>
  <c r="AB106" i="8"/>
  <c r="AB113" i="8"/>
  <c r="AC113" i="8" s="1"/>
  <c r="AB147" i="8"/>
  <c r="AC147" i="8" s="1"/>
  <c r="AB194" i="8"/>
  <c r="AC194" i="8" s="1"/>
  <c r="AB217" i="8"/>
  <c r="AC217" i="8" s="1"/>
  <c r="AB68" i="7"/>
  <c r="AC68" i="7" s="1"/>
  <c r="AB96" i="7"/>
  <c r="AB194" i="7"/>
  <c r="AC194" i="7" s="1"/>
  <c r="AB267" i="7"/>
  <c r="AC267" i="7" s="1"/>
  <c r="AB299" i="7"/>
  <c r="AC299" i="7" s="1"/>
  <c r="AB329" i="7"/>
  <c r="AC329" i="7" s="1"/>
  <c r="AB346" i="7"/>
  <c r="AC346" i="7" s="1"/>
  <c r="AB79" i="9"/>
  <c r="AC79" i="9" s="1"/>
  <c r="AB100" i="9"/>
  <c r="AB285" i="9"/>
  <c r="AC285" i="9" s="1"/>
  <c r="AB358" i="9"/>
  <c r="AC358" i="9" s="1"/>
  <c r="AB35" i="10"/>
  <c r="AB159" i="8"/>
  <c r="AC159" i="8" s="1"/>
  <c r="AB239" i="8"/>
  <c r="AC239" i="8" s="1"/>
  <c r="AB11" i="7"/>
  <c r="AB62" i="7"/>
  <c r="AC62" i="7" s="1"/>
  <c r="AB125" i="7"/>
  <c r="AC125" i="7" s="1"/>
  <c r="AB220" i="9"/>
  <c r="AC220" i="9" s="1"/>
  <c r="AB105" i="17"/>
  <c r="AC105" i="17" s="1"/>
  <c r="AB78" i="17"/>
  <c r="AC78" i="17" s="1"/>
  <c r="AB58" i="17"/>
  <c r="AC58" i="17" s="1"/>
  <c r="AB32" i="17"/>
  <c r="AC32" i="17" s="1"/>
  <c r="AB117" i="17"/>
  <c r="AC117" i="17" s="1"/>
  <c r="AB73" i="17"/>
  <c r="AC73" i="17" s="1"/>
  <c r="AB61" i="17"/>
  <c r="AC61" i="17" s="1"/>
  <c r="AB54" i="17"/>
  <c r="AB47" i="17"/>
  <c r="AC47" i="17" s="1"/>
  <c r="AB38" i="17"/>
  <c r="AC38" i="17" s="1"/>
  <c r="AB14" i="17"/>
  <c r="AC14" i="17" s="1"/>
  <c r="AB102" i="17"/>
  <c r="AC102" i="17" s="1"/>
  <c r="AB94" i="17"/>
  <c r="AC94" i="17" s="1"/>
  <c r="AB68" i="17"/>
  <c r="AC68" i="17" s="1"/>
  <c r="AB49" i="17"/>
  <c r="AC49" i="17" s="1"/>
  <c r="AB40" i="17"/>
  <c r="AC40" i="17" s="1"/>
  <c r="AB16" i="17"/>
  <c r="AC16" i="17" s="1"/>
  <c r="AB86" i="17"/>
  <c r="AC86" i="17" s="1"/>
  <c r="AB56" i="17"/>
  <c r="AC56" i="17" s="1"/>
  <c r="AB62" i="17"/>
  <c r="AC62" i="17" s="1"/>
  <c r="AB6" i="17"/>
  <c r="AC6" i="17" s="1"/>
  <c r="AB48" i="17"/>
  <c r="AC48" i="17" s="1"/>
  <c r="AB107" i="17"/>
  <c r="AC107" i="17" s="1"/>
  <c r="AB59" i="17"/>
  <c r="AB70" i="17"/>
  <c r="AC70" i="17" s="1"/>
  <c r="AB24" i="17"/>
  <c r="AC24" i="17" s="1"/>
  <c r="AB67" i="17"/>
  <c r="AC67" i="17" s="1"/>
  <c r="AB106" i="17"/>
  <c r="AC106" i="17" s="1"/>
  <c r="AB97" i="17"/>
  <c r="AC97" i="17" s="1"/>
  <c r="AB81" i="17"/>
  <c r="AC81" i="17" s="1"/>
  <c r="AB66" i="17"/>
  <c r="AC66" i="17" s="1"/>
  <c r="AB52" i="17"/>
  <c r="AC52" i="17" s="1"/>
  <c r="AB69" i="17"/>
  <c r="AC69" i="17" s="1"/>
  <c r="AB25" i="17"/>
  <c r="AC25" i="17" s="1"/>
  <c r="AB12" i="17"/>
  <c r="AC12" i="17" s="1"/>
  <c r="AB28" i="17"/>
  <c r="AC28" i="17" s="1"/>
  <c r="AB100" i="17"/>
  <c r="AC100" i="17" s="1"/>
  <c r="AB96" i="17"/>
  <c r="AC96" i="17" s="1"/>
  <c r="AB92" i="17"/>
  <c r="AC92" i="17" s="1"/>
  <c r="AB88" i="17"/>
  <c r="AC88" i="17" s="1"/>
  <c r="AB80" i="17"/>
  <c r="AC80" i="17" s="1"/>
  <c r="AB44" i="17"/>
  <c r="AC44" i="17" s="1"/>
  <c r="AB84" i="17"/>
  <c r="AC84" i="17" s="1"/>
  <c r="AB76" i="17"/>
  <c r="AC76" i="17" s="1"/>
  <c r="AB65" i="17"/>
  <c r="AB9" i="17"/>
  <c r="AC9" i="17" s="1"/>
  <c r="AB99" i="17"/>
  <c r="AC99" i="17" s="1"/>
  <c r="AB20" i="17"/>
  <c r="AC20" i="17" s="1"/>
  <c r="AB115" i="17"/>
  <c r="AC115" i="17" s="1"/>
  <c r="AB90" i="17"/>
  <c r="AC90" i="17" s="1"/>
  <c r="AB36" i="17"/>
  <c r="AC36" i="17" s="1"/>
  <c r="AB72" i="17"/>
  <c r="AC72" i="17" s="1"/>
  <c r="AB60" i="17"/>
  <c r="AC60" i="17" s="1"/>
  <c r="AB18" i="17"/>
  <c r="AC18" i="17" s="1"/>
  <c r="AB8" i="17"/>
  <c r="AC8" i="17" s="1"/>
  <c r="AB109" i="17"/>
  <c r="AC109" i="17" s="1"/>
  <c r="AB23" i="17"/>
  <c r="AC23" i="17" s="1"/>
  <c r="AB35" i="17"/>
  <c r="AC35" i="17" s="1"/>
  <c r="AB74" i="17"/>
  <c r="AC74" i="17" s="1"/>
  <c r="AB10" i="17"/>
  <c r="AC10" i="17" s="1"/>
  <c r="AB4" i="17"/>
  <c r="AC4" i="17" s="1"/>
  <c r="AB34" i="17"/>
  <c r="AC34" i="17" s="1"/>
  <c r="AB15" i="17"/>
  <c r="AC15" i="17" s="1"/>
  <c r="AB46" i="17"/>
  <c r="AC46" i="17" s="1"/>
  <c r="AB111" i="17"/>
  <c r="AC111" i="17" s="1"/>
  <c r="AB98" i="17"/>
  <c r="AC98" i="17" s="1"/>
  <c r="AB30" i="17"/>
  <c r="AC30" i="17" s="1"/>
  <c r="AB22" i="17"/>
  <c r="AC22" i="17" s="1"/>
  <c r="AB2" i="17"/>
  <c r="AC2" i="17" s="1"/>
  <c r="AB120" i="17"/>
  <c r="AC120" i="17" s="1"/>
  <c r="AB1" i="17"/>
  <c r="AC1" i="17" s="1"/>
  <c r="AB82" i="17"/>
  <c r="AC82" i="17" s="1"/>
  <c r="AB50" i="17"/>
  <c r="AC50" i="17" s="1"/>
  <c r="AB26" i="17"/>
  <c r="AC26" i="17" s="1"/>
  <c r="AB64" i="17"/>
  <c r="AB42" i="17"/>
  <c r="AC42" i="17" s="1"/>
  <c r="AB114" i="17"/>
  <c r="AC114" i="17" s="1"/>
  <c r="AB51" i="17"/>
  <c r="AC51" i="17" s="1"/>
  <c r="AB17" i="17"/>
  <c r="AC17" i="17" s="1"/>
  <c r="AB33" i="17"/>
  <c r="AC33" i="17" s="1"/>
  <c r="AB123" i="17"/>
  <c r="AC123" i="17" s="1"/>
  <c r="AB75" i="8"/>
  <c r="AC75" i="8" s="1"/>
  <c r="AB120" i="8"/>
  <c r="AC120" i="8" s="1"/>
  <c r="AB343" i="8"/>
  <c r="AC343" i="8" s="1"/>
  <c r="AB90" i="7"/>
  <c r="AB279" i="7"/>
  <c r="AC279" i="7" s="1"/>
  <c r="AB28" i="8"/>
  <c r="AB128" i="8"/>
  <c r="AC128" i="8" s="1"/>
  <c r="AB281" i="8"/>
  <c r="AC281" i="8" s="1"/>
  <c r="AB134" i="7"/>
  <c r="AC134" i="7" s="1"/>
  <c r="AB341" i="7"/>
  <c r="AC341" i="7" s="1"/>
  <c r="AB22" i="9"/>
  <c r="AC22" i="9" s="1"/>
  <c r="AB240" i="9"/>
  <c r="AC240" i="9" s="1"/>
  <c r="AB334" i="9"/>
  <c r="AC334" i="9" s="1"/>
  <c r="AB371" i="9"/>
  <c r="AC371" i="9" s="1"/>
  <c r="AB26" i="8"/>
  <c r="AB214" i="8"/>
  <c r="AC214" i="8" s="1"/>
  <c r="AB267" i="8"/>
  <c r="AC267" i="8" s="1"/>
  <c r="AB32" i="7"/>
  <c r="AB173" i="7"/>
  <c r="AC173" i="7" s="1"/>
  <c r="AB119" i="18"/>
  <c r="AC119" i="18" s="1"/>
  <c r="AB150" i="8"/>
  <c r="AC150" i="8" s="1"/>
  <c r="AB52" i="8"/>
  <c r="AC52" i="8" s="1"/>
  <c r="AB84" i="8"/>
  <c r="AC84" i="8" s="1"/>
  <c r="AB389" i="8"/>
  <c r="AC389" i="8" s="1"/>
  <c r="AB367" i="8"/>
  <c r="AC367" i="8" s="1"/>
  <c r="AB345" i="8"/>
  <c r="AC345" i="8" s="1"/>
  <c r="AB323" i="8"/>
  <c r="AC323" i="8" s="1"/>
  <c r="AB301" i="8"/>
  <c r="AC301" i="8" s="1"/>
  <c r="AB279" i="8"/>
  <c r="AC279" i="8" s="1"/>
  <c r="AB257" i="8"/>
  <c r="AC257" i="8" s="1"/>
  <c r="AB235" i="8"/>
  <c r="AC235" i="8" s="1"/>
  <c r="AB149" i="8"/>
  <c r="AC149" i="8" s="1"/>
  <c r="AB127" i="8"/>
  <c r="AC127" i="8" s="1"/>
  <c r="AB263" i="8"/>
  <c r="AC263" i="8" s="1"/>
  <c r="AB324" i="8"/>
  <c r="AC324" i="8" s="1"/>
  <c r="AB306" i="8"/>
  <c r="AC306" i="8" s="1"/>
  <c r="AB289" i="8"/>
  <c r="AC289" i="8" s="1"/>
  <c r="AB272" i="8"/>
  <c r="AC272" i="8" s="1"/>
  <c r="AB254" i="8"/>
  <c r="AC254" i="8" s="1"/>
  <c r="AB187" i="8"/>
  <c r="AC187" i="8" s="1"/>
  <c r="AB163" i="8"/>
  <c r="AC163" i="8" s="1"/>
  <c r="AB155" i="8"/>
  <c r="AC155" i="8" s="1"/>
  <c r="AB117" i="8"/>
  <c r="AB109" i="8"/>
  <c r="AB105" i="8"/>
  <c r="AC105" i="8" s="1"/>
  <c r="AB83" i="8"/>
  <c r="AC83" i="8" s="1"/>
  <c r="AB61" i="8"/>
  <c r="AC61" i="8" s="1"/>
  <c r="AB39" i="8"/>
  <c r="AC39" i="8" s="1"/>
  <c r="AB219" i="8"/>
  <c r="AC219" i="8" s="1"/>
  <c r="AB144" i="8"/>
  <c r="AC144" i="8" s="1"/>
  <c r="AB228" i="8"/>
  <c r="AC228" i="8" s="1"/>
  <c r="AB123" i="8"/>
  <c r="AC123" i="8" s="1"/>
  <c r="AB350" i="8"/>
  <c r="AC350" i="8" s="1"/>
  <c r="AB122" i="8"/>
  <c r="AC122" i="8" s="1"/>
  <c r="AB378" i="8"/>
  <c r="AC378" i="8" s="1"/>
  <c r="AB338" i="8"/>
  <c r="AC338" i="8" s="1"/>
  <c r="AB318" i="8"/>
  <c r="AC318" i="8" s="1"/>
  <c r="AB309" i="8"/>
  <c r="AC309" i="8" s="1"/>
  <c r="AB298" i="8"/>
  <c r="AC298" i="8" s="1"/>
  <c r="AB152" i="8"/>
  <c r="AC152" i="8" s="1"/>
  <c r="AB95" i="8"/>
  <c r="AC95" i="8" s="1"/>
  <c r="AB385" i="8"/>
  <c r="AC385" i="8" s="1"/>
  <c r="AB373" i="8"/>
  <c r="AC373" i="8" s="1"/>
  <c r="AB354" i="8"/>
  <c r="AC354" i="8" s="1"/>
  <c r="AB268" i="8"/>
  <c r="AC268" i="8" s="1"/>
  <c r="AB215" i="8"/>
  <c r="AC215" i="8" s="1"/>
  <c r="AB125" i="8"/>
  <c r="AC125" i="8" s="1"/>
  <c r="AB103" i="8"/>
  <c r="AC103" i="8" s="1"/>
  <c r="AB382" i="8"/>
  <c r="AC382" i="8" s="1"/>
  <c r="AB351" i="8"/>
  <c r="AC351" i="8" s="1"/>
  <c r="AB307" i="8"/>
  <c r="AC307" i="8" s="1"/>
  <c r="AB395" i="8"/>
  <c r="AC395" i="8" s="1"/>
  <c r="AB320" i="8"/>
  <c r="AC320" i="8" s="1"/>
  <c r="AB299" i="8"/>
  <c r="AC299" i="8" s="1"/>
  <c r="AB288" i="8"/>
  <c r="AC288" i="8" s="1"/>
  <c r="AB277" i="8"/>
  <c r="AC277" i="8" s="1"/>
  <c r="AB224" i="8"/>
  <c r="AC224" i="8" s="1"/>
  <c r="AB203" i="8"/>
  <c r="AC203" i="8" s="1"/>
  <c r="AB146" i="8"/>
  <c r="AC146" i="8" s="1"/>
  <c r="AB121" i="8"/>
  <c r="AB119" i="8"/>
  <c r="AB57" i="8"/>
  <c r="AC57" i="8" s="1"/>
  <c r="AB45" i="8"/>
  <c r="AC45" i="8" s="1"/>
  <c r="AB42" i="8"/>
  <c r="AC42" i="8" s="1"/>
  <c r="AB329" i="8"/>
  <c r="AC329" i="8" s="1"/>
  <c r="AB188" i="8"/>
  <c r="AC188" i="8" s="1"/>
  <c r="AB383" i="8"/>
  <c r="AC383" i="8" s="1"/>
  <c r="AB87" i="8"/>
  <c r="AC87" i="8" s="1"/>
  <c r="AB74" i="8"/>
  <c r="AC74" i="8" s="1"/>
  <c r="AB134" i="8"/>
  <c r="AC134" i="8" s="1"/>
  <c r="AB321" i="8"/>
  <c r="AC321" i="8" s="1"/>
  <c r="AB361" i="8"/>
  <c r="AC361" i="8" s="1"/>
  <c r="AB375" i="8"/>
  <c r="AC375" i="8" s="1"/>
  <c r="AB97" i="7"/>
  <c r="AC97" i="7" s="1"/>
  <c r="AB102" i="7"/>
  <c r="AC102" i="7" s="1"/>
  <c r="AB107" i="7"/>
  <c r="AC107" i="7" s="1"/>
  <c r="AB146" i="7"/>
  <c r="AC146" i="7" s="1"/>
  <c r="AB160" i="7"/>
  <c r="AC160" i="7" s="1"/>
  <c r="AB174" i="7"/>
  <c r="AC174" i="7" s="1"/>
  <c r="AB251" i="7"/>
  <c r="AC251" i="7" s="1"/>
  <c r="AB315" i="7"/>
  <c r="AC315" i="7" s="1"/>
  <c r="AB286" i="9"/>
  <c r="AC286" i="9" s="1"/>
  <c r="AB321" i="9"/>
  <c r="AC321" i="9" s="1"/>
  <c r="AB93" i="17"/>
  <c r="AC93" i="17" s="1"/>
  <c r="AB180" i="8"/>
  <c r="AC180" i="8" s="1"/>
  <c r="AB75" i="7"/>
  <c r="AC75" i="7" s="1"/>
  <c r="AB188" i="7"/>
  <c r="AC188" i="7" s="1"/>
  <c r="AB214" i="7"/>
  <c r="AC214" i="7" s="1"/>
  <c r="AB239" i="9"/>
  <c r="AC239" i="9" s="1"/>
  <c r="AB242" i="7"/>
  <c r="AC242" i="7" s="1"/>
  <c r="AB310" i="7"/>
  <c r="AC310" i="7" s="1"/>
  <c r="AB34" i="10"/>
  <c r="AC34" i="10" s="1"/>
  <c r="AB319" i="8"/>
  <c r="AC319" i="8" s="1"/>
  <c r="AB94" i="7"/>
  <c r="AB190" i="8"/>
  <c r="AC190" i="8" s="1"/>
  <c r="AB234" i="8"/>
  <c r="AC234" i="8" s="1"/>
  <c r="AB245" i="8"/>
  <c r="AC245" i="8" s="1"/>
  <c r="AB256" i="8"/>
  <c r="AC256" i="8" s="1"/>
  <c r="AB1" i="7"/>
  <c r="AC1" i="7" s="1"/>
  <c r="AB5" i="7"/>
  <c r="AB66" i="7"/>
  <c r="AC66" i="7" s="1"/>
  <c r="AB72" i="7"/>
  <c r="AB78" i="7"/>
  <c r="AC78" i="7" s="1"/>
  <c r="AB105" i="7"/>
  <c r="AC105" i="7" s="1"/>
  <c r="AB139" i="7"/>
  <c r="AC139" i="7" s="1"/>
  <c r="AB172" i="7"/>
  <c r="AC172" i="7" s="1"/>
  <c r="AB230" i="7"/>
  <c r="AC230" i="7" s="1"/>
  <c r="AB284" i="7"/>
  <c r="AC284" i="7" s="1"/>
  <c r="AB325" i="7"/>
  <c r="AC325" i="7" s="1"/>
  <c r="AB363" i="7"/>
  <c r="AC363" i="7" s="1"/>
  <c r="AB14" i="9"/>
  <c r="AC14" i="9" s="1"/>
  <c r="AB131" i="9"/>
  <c r="AC131" i="9" s="1"/>
  <c r="AB142" i="9"/>
  <c r="AC142" i="9" s="1"/>
  <c r="AB63" i="16"/>
  <c r="AC63" i="16" s="1"/>
  <c r="AB290" i="9"/>
  <c r="AC290" i="9" s="1"/>
  <c r="AB140" i="8"/>
  <c r="AC140" i="8" s="1"/>
  <c r="AB132" i="8"/>
  <c r="AC132" i="8" s="1"/>
  <c r="AB148" i="8"/>
  <c r="AC148" i="8" s="1"/>
  <c r="AB246" i="8"/>
  <c r="AC246" i="8" s="1"/>
  <c r="AB310" i="8"/>
  <c r="AC310" i="8" s="1"/>
  <c r="AB331" i="8"/>
  <c r="AC331" i="8" s="1"/>
  <c r="AB384" i="8"/>
  <c r="AC384" i="8" s="1"/>
  <c r="AB13" i="7"/>
  <c r="AB129" i="7"/>
  <c r="AC129" i="7" s="1"/>
  <c r="AB136" i="7"/>
  <c r="AC136" i="7" s="1"/>
  <c r="AB185" i="7"/>
  <c r="AC185" i="7" s="1"/>
  <c r="AB204" i="7"/>
  <c r="AC204" i="7" s="1"/>
  <c r="AB54" i="9"/>
  <c r="AC54" i="9" s="1"/>
  <c r="AB311" i="9"/>
  <c r="AC311" i="9" s="1"/>
  <c r="AB213" i="8"/>
  <c r="AC213" i="8" s="1"/>
  <c r="AB286" i="8"/>
  <c r="AC286" i="8" s="1"/>
  <c r="AB340" i="8"/>
  <c r="AC340" i="8" s="1"/>
  <c r="AB26" i="7"/>
  <c r="AC26" i="7" s="1"/>
  <c r="AB101" i="7"/>
  <c r="AB80" i="9"/>
  <c r="AC80" i="9" s="1"/>
  <c r="AB187" i="9"/>
  <c r="AC187" i="9" s="1"/>
  <c r="AB101" i="8"/>
  <c r="AC101" i="8" s="1"/>
  <c r="AB297" i="8"/>
  <c r="AC297" i="8" s="1"/>
  <c r="AB35" i="7"/>
  <c r="AB283" i="7"/>
  <c r="AC283" i="7" s="1"/>
  <c r="AB47" i="10"/>
  <c r="AB43" i="17"/>
  <c r="AC43" i="17" s="1"/>
  <c r="AB22" i="8"/>
  <c r="AB364" i="7"/>
  <c r="AC364" i="7" s="1"/>
  <c r="AB342" i="7"/>
  <c r="AC342" i="7" s="1"/>
  <c r="AB320" i="7"/>
  <c r="AC320" i="7" s="1"/>
  <c r="AB298" i="7"/>
  <c r="AC298" i="7" s="1"/>
  <c r="AB276" i="7"/>
  <c r="AC276" i="7" s="1"/>
  <c r="AB254" i="7"/>
  <c r="AC254" i="7" s="1"/>
  <c r="AB232" i="7"/>
  <c r="AC232" i="7" s="1"/>
  <c r="AB210" i="7"/>
  <c r="AC210" i="7" s="1"/>
  <c r="AB348" i="7"/>
  <c r="AC348" i="7" s="1"/>
  <c r="AB326" i="7"/>
  <c r="AC326" i="7" s="1"/>
  <c r="AB304" i="7"/>
  <c r="AC304" i="7" s="1"/>
  <c r="AB282" i="7"/>
  <c r="AC282" i="7" s="1"/>
  <c r="AB260" i="7"/>
  <c r="AC260" i="7" s="1"/>
  <c r="AB238" i="7"/>
  <c r="AC238" i="7" s="1"/>
  <c r="AB216" i="7"/>
  <c r="AC216" i="7" s="1"/>
  <c r="AB296" i="7"/>
  <c r="AC296" i="7" s="1"/>
  <c r="AB262" i="7"/>
  <c r="AC262" i="7" s="1"/>
  <c r="AB253" i="7"/>
  <c r="AC253" i="7" s="1"/>
  <c r="AB244" i="7"/>
  <c r="AC244" i="7" s="1"/>
  <c r="AB123" i="7"/>
  <c r="AC123" i="7" s="1"/>
  <c r="AB120" i="7"/>
  <c r="AC120" i="7" s="1"/>
  <c r="AB339" i="7"/>
  <c r="AC339" i="7" s="1"/>
  <c r="AB322" i="7"/>
  <c r="AC322" i="7" s="1"/>
  <c r="AB287" i="7"/>
  <c r="AC287" i="7" s="1"/>
  <c r="AB227" i="7"/>
  <c r="AC227" i="7" s="1"/>
  <c r="AB151" i="7"/>
  <c r="AC151" i="7" s="1"/>
  <c r="AB112" i="7"/>
  <c r="AC112" i="7" s="1"/>
  <c r="AB109" i="7"/>
  <c r="AC109" i="7" s="1"/>
  <c r="AB70" i="7"/>
  <c r="AB51" i="7"/>
  <c r="AC51" i="7" s="1"/>
  <c r="AB218" i="7"/>
  <c r="AC218" i="7" s="1"/>
  <c r="AB209" i="7"/>
  <c r="AC209" i="7" s="1"/>
  <c r="AB193" i="7"/>
  <c r="AC193" i="7" s="1"/>
  <c r="AB171" i="7"/>
  <c r="AC171" i="7" s="1"/>
  <c r="AB366" i="7"/>
  <c r="AC366" i="7" s="1"/>
  <c r="AB275" i="7"/>
  <c r="AC275" i="7" s="1"/>
  <c r="AB138" i="7"/>
  <c r="AC138" i="7" s="1"/>
  <c r="AB61" i="7"/>
  <c r="AC61" i="7" s="1"/>
  <c r="AB354" i="7"/>
  <c r="AC354" i="7" s="1"/>
  <c r="AB306" i="7"/>
  <c r="AC306" i="7" s="1"/>
  <c r="AB285" i="7"/>
  <c r="AC285" i="7" s="1"/>
  <c r="AB265" i="7"/>
  <c r="AC265" i="7" s="1"/>
  <c r="AB164" i="7"/>
  <c r="AC164" i="7" s="1"/>
  <c r="AB156" i="7"/>
  <c r="AC156" i="7" s="1"/>
  <c r="AB69" i="7"/>
  <c r="AC69" i="7" s="1"/>
  <c r="AB39" i="7"/>
  <c r="AC39" i="7" s="1"/>
  <c r="AB37" i="7"/>
  <c r="AB118" i="7"/>
  <c r="AC118" i="7" s="1"/>
  <c r="AB303" i="7"/>
  <c r="AC303" i="7" s="1"/>
  <c r="AB127" i="7"/>
  <c r="AC127" i="7" s="1"/>
  <c r="AB25" i="7"/>
  <c r="AB321" i="7"/>
  <c r="AC321" i="7" s="1"/>
  <c r="AB264" i="7"/>
  <c r="AC264" i="7" s="1"/>
  <c r="AB219" i="7"/>
  <c r="AC219" i="7" s="1"/>
  <c r="AB183" i="7"/>
  <c r="AC183" i="7" s="1"/>
  <c r="AB147" i="7"/>
  <c r="AC147" i="7" s="1"/>
  <c r="AB79" i="7"/>
  <c r="AC79" i="7" s="1"/>
  <c r="AB28" i="7"/>
  <c r="AC28" i="7" s="1"/>
  <c r="AB358" i="7"/>
  <c r="AC358" i="7" s="1"/>
  <c r="AB319" i="7"/>
  <c r="AC319" i="7" s="1"/>
  <c r="AB271" i="7"/>
  <c r="AC271" i="7" s="1"/>
  <c r="AB258" i="7"/>
  <c r="AC258" i="7" s="1"/>
  <c r="AB149" i="7"/>
  <c r="AC149" i="7" s="1"/>
  <c r="AB130" i="7"/>
  <c r="AC130" i="7" s="1"/>
  <c r="AB220" i="7"/>
  <c r="AC220" i="7" s="1"/>
  <c r="AB152" i="7"/>
  <c r="AC152" i="7" s="1"/>
  <c r="AB20" i="7"/>
  <c r="AB331" i="7"/>
  <c r="AC331" i="7" s="1"/>
  <c r="AB203" i="7"/>
  <c r="AC203" i="7" s="1"/>
  <c r="AB324" i="7"/>
  <c r="AC324" i="7" s="1"/>
  <c r="AB36" i="7"/>
  <c r="AC36" i="7" s="1"/>
  <c r="AB182" i="7"/>
  <c r="AC182" i="7" s="1"/>
  <c r="AB189" i="7"/>
  <c r="AC189" i="7" s="1"/>
  <c r="AB196" i="7"/>
  <c r="AC196" i="7" s="1"/>
  <c r="AB200" i="7"/>
  <c r="AC200" i="7" s="1"/>
  <c r="AB217" i="7"/>
  <c r="AC217" i="7" s="1"/>
  <c r="AB231" i="7"/>
  <c r="AC231" i="7" s="1"/>
  <c r="AB272" i="7"/>
  <c r="AC272" i="7" s="1"/>
  <c r="AB300" i="7"/>
  <c r="AC300" i="7" s="1"/>
  <c r="AB312" i="7"/>
  <c r="AC312" i="7" s="1"/>
  <c r="AB352" i="7"/>
  <c r="AC352" i="7" s="1"/>
  <c r="AB5" i="9"/>
  <c r="AB17" i="9"/>
  <c r="AC17" i="9" s="1"/>
  <c r="AB71" i="9"/>
  <c r="AC71" i="9" s="1"/>
  <c r="AB157" i="9"/>
  <c r="AC157" i="9" s="1"/>
  <c r="AB241" i="9"/>
  <c r="AC241" i="9" s="1"/>
  <c r="AB57" i="10"/>
  <c r="AB238" i="9"/>
  <c r="AC238" i="9" s="1"/>
  <c r="AB44" i="7"/>
  <c r="AC44" i="7" s="1"/>
  <c r="AB168" i="7"/>
  <c r="AC168" i="7" s="1"/>
  <c r="AB192" i="7"/>
  <c r="AC192" i="7" s="1"/>
  <c r="AB145" i="9"/>
  <c r="AC145" i="9" s="1"/>
  <c r="AB182" i="8"/>
  <c r="AC182" i="8" s="1"/>
  <c r="AB308" i="8"/>
  <c r="AC308" i="8" s="1"/>
  <c r="AB341" i="8"/>
  <c r="AC341" i="8" s="1"/>
  <c r="AB32" i="9"/>
  <c r="AC32" i="9" s="1"/>
  <c r="AB138" i="9"/>
  <c r="AC138" i="9" s="1"/>
  <c r="AB215" i="7"/>
  <c r="AC215" i="7" s="1"/>
  <c r="AB206" i="9"/>
  <c r="AC206" i="9" s="1"/>
  <c r="AB292" i="9"/>
  <c r="AC292" i="9" s="1"/>
  <c r="AB6" i="10"/>
  <c r="AC6" i="10" s="1"/>
  <c r="AB236" i="8"/>
  <c r="AC236" i="8" s="1"/>
  <c r="AB258" i="8"/>
  <c r="AC258" i="8" s="1"/>
  <c r="AB278" i="8"/>
  <c r="AC278" i="8" s="1"/>
  <c r="AB332" i="8"/>
  <c r="AC332" i="8" s="1"/>
  <c r="AB396" i="8"/>
  <c r="AC396" i="8" s="1"/>
  <c r="AB2" i="7"/>
  <c r="AB8" i="7"/>
  <c r="AB57" i="7"/>
  <c r="AB60" i="7"/>
  <c r="AC60" i="7" s="1"/>
  <c r="AB63" i="7"/>
  <c r="AC63" i="7" s="1"/>
  <c r="AB88" i="7"/>
  <c r="AB95" i="7"/>
  <c r="AB113" i="7"/>
  <c r="AC113" i="7" s="1"/>
  <c r="AB205" i="7"/>
  <c r="AC205" i="7" s="1"/>
  <c r="AB259" i="7"/>
  <c r="AC259" i="7" s="1"/>
  <c r="AB286" i="7"/>
  <c r="AC286" i="7" s="1"/>
  <c r="AB36" i="9"/>
  <c r="AC36" i="9" s="1"/>
  <c r="AB45" i="9"/>
  <c r="AC45" i="9" s="1"/>
  <c r="AB111" i="9"/>
  <c r="AC111" i="9" s="1"/>
  <c r="AB135" i="9"/>
  <c r="AC135" i="9" s="1"/>
  <c r="AB162" i="9"/>
  <c r="AC162" i="9" s="1"/>
  <c r="AB260" i="9"/>
  <c r="AC260" i="9" s="1"/>
  <c r="AB241" i="7"/>
  <c r="AC241" i="7" s="1"/>
  <c r="AB352" i="8"/>
  <c r="AC352" i="8" s="1"/>
  <c r="AB273" i="9"/>
  <c r="AC273" i="9" s="1"/>
  <c r="AB330" i="8"/>
  <c r="AC330" i="8" s="1"/>
  <c r="AB15" i="8"/>
  <c r="AB48" i="8"/>
  <c r="AC48" i="8" s="1"/>
  <c r="AB8" i="8"/>
  <c r="AB30" i="8"/>
  <c r="AB204" i="8"/>
  <c r="AC204" i="8" s="1"/>
  <c r="AB290" i="8"/>
  <c r="AC290" i="8" s="1"/>
  <c r="AB3" i="7"/>
  <c r="AC3" i="7" s="1"/>
  <c r="AB116" i="7"/>
  <c r="AC116" i="7" s="1"/>
  <c r="AB126" i="7"/>
  <c r="AC126" i="7" s="1"/>
  <c r="AB186" i="7"/>
  <c r="AC186" i="7" s="1"/>
  <c r="AB248" i="7"/>
  <c r="AC248" i="7" s="1"/>
  <c r="AB273" i="7"/>
  <c r="AC273" i="7" s="1"/>
  <c r="AB327" i="7"/>
  <c r="AC327" i="7" s="1"/>
  <c r="AB68" i="9"/>
  <c r="AC68" i="9" s="1"/>
  <c r="AB139" i="9"/>
  <c r="AC139" i="9" s="1"/>
  <c r="AB228" i="9"/>
  <c r="AC228" i="9" s="1"/>
  <c r="AB348" i="8"/>
  <c r="AC348" i="8" s="1"/>
  <c r="AB359" i="8"/>
  <c r="AC359" i="8" s="1"/>
  <c r="AB30" i="7"/>
  <c r="AC30" i="7" s="1"/>
  <c r="AB53" i="7"/>
  <c r="AC53" i="7" s="1"/>
  <c r="AB169" i="7"/>
  <c r="AC169" i="7" s="1"/>
  <c r="AB246" i="7"/>
  <c r="AC246" i="7" s="1"/>
  <c r="AB270" i="7"/>
  <c r="AC270" i="7" s="1"/>
  <c r="AB43" i="9"/>
  <c r="AC43" i="9" s="1"/>
  <c r="AB182" i="9"/>
  <c r="AC182" i="9" s="1"/>
  <c r="AB186" i="9"/>
  <c r="AC186" i="9" s="1"/>
  <c r="AB197" i="9"/>
  <c r="AC197" i="9" s="1"/>
  <c r="AB274" i="9"/>
  <c r="AC274" i="9" s="1"/>
  <c r="AB13" i="17"/>
  <c r="AC13" i="17" s="1"/>
  <c r="AB125" i="17"/>
  <c r="AC125" i="17" s="1"/>
  <c r="AB388" i="8"/>
  <c r="AC388" i="8" s="1"/>
  <c r="AB18" i="7"/>
  <c r="AB40" i="7"/>
  <c r="AB48" i="7"/>
  <c r="AC48" i="7" s="1"/>
  <c r="AB87" i="7"/>
  <c r="AB121" i="7"/>
  <c r="AC121" i="7" s="1"/>
  <c r="AB177" i="7"/>
  <c r="AC177" i="7" s="1"/>
  <c r="AB207" i="7"/>
  <c r="AC207" i="7" s="1"/>
  <c r="AB233" i="7"/>
  <c r="AC233" i="7" s="1"/>
  <c r="AB247" i="7"/>
  <c r="AC247" i="7" s="1"/>
  <c r="AB378" i="9"/>
  <c r="AC378" i="9" s="1"/>
  <c r="AB363" i="9"/>
  <c r="AC363" i="9" s="1"/>
  <c r="AB325" i="9"/>
  <c r="AC325" i="9" s="1"/>
  <c r="AB310" i="9"/>
  <c r="AC310" i="9" s="1"/>
  <c r="AB288" i="9"/>
  <c r="AC288" i="9" s="1"/>
  <c r="AB347" i="9"/>
  <c r="AC347" i="9" s="1"/>
  <c r="AB323" i="9"/>
  <c r="AC323" i="9" s="1"/>
  <c r="AB315" i="9"/>
  <c r="AC315" i="9" s="1"/>
  <c r="AB284" i="9"/>
  <c r="AC284" i="9" s="1"/>
  <c r="AB246" i="9"/>
  <c r="AC246" i="9" s="1"/>
  <c r="AB224" i="9"/>
  <c r="AC224" i="9" s="1"/>
  <c r="AB307" i="9"/>
  <c r="AC307" i="9" s="1"/>
  <c r="AB276" i="9"/>
  <c r="AC276" i="9" s="1"/>
  <c r="AB261" i="9"/>
  <c r="AC261" i="9" s="1"/>
  <c r="AB231" i="9"/>
  <c r="AC231" i="9" s="1"/>
  <c r="AB209" i="9"/>
  <c r="AC209" i="9" s="1"/>
  <c r="AB262" i="9"/>
  <c r="AC262" i="9" s="1"/>
  <c r="AB382" i="9"/>
  <c r="AC382" i="9" s="1"/>
  <c r="AB316" i="9"/>
  <c r="AC316" i="9" s="1"/>
  <c r="AB279" i="9"/>
  <c r="AC279" i="9" s="1"/>
  <c r="AB243" i="9"/>
  <c r="AC243" i="9" s="1"/>
  <c r="AB226" i="9"/>
  <c r="AC226" i="9" s="1"/>
  <c r="AB196" i="9"/>
  <c r="AC196" i="9" s="1"/>
  <c r="AB190" i="9"/>
  <c r="AC190" i="9" s="1"/>
  <c r="AB170" i="9"/>
  <c r="AC170" i="9" s="1"/>
  <c r="AB143" i="9"/>
  <c r="AC143" i="9" s="1"/>
  <c r="AB121" i="9"/>
  <c r="AC121" i="9" s="1"/>
  <c r="AB164" i="9"/>
  <c r="AC164" i="9" s="1"/>
  <c r="AB333" i="9"/>
  <c r="AC333" i="9" s="1"/>
  <c r="AB191" i="9"/>
  <c r="AC191" i="9" s="1"/>
  <c r="AB309" i="9"/>
  <c r="AC309" i="9" s="1"/>
  <c r="AB277" i="9"/>
  <c r="AC277" i="9" s="1"/>
  <c r="AB247" i="9"/>
  <c r="AC247" i="9" s="1"/>
  <c r="AB236" i="9"/>
  <c r="AC236" i="9" s="1"/>
  <c r="AB227" i="9"/>
  <c r="AC227" i="9" s="1"/>
  <c r="AB266" i="9"/>
  <c r="AC266" i="9" s="1"/>
  <c r="AB103" i="9"/>
  <c r="AB59" i="9"/>
  <c r="AC59" i="9" s="1"/>
  <c r="AB349" i="9"/>
  <c r="AC349" i="9" s="1"/>
  <c r="AB327" i="9"/>
  <c r="AC327" i="9" s="1"/>
  <c r="AB255" i="9"/>
  <c r="AC255" i="9" s="1"/>
  <c r="AB214" i="9"/>
  <c r="AC214" i="9" s="1"/>
  <c r="AB171" i="9"/>
  <c r="AC171" i="9" s="1"/>
  <c r="AB369" i="9"/>
  <c r="AC369" i="9" s="1"/>
  <c r="AB296" i="9"/>
  <c r="AC296" i="9" s="1"/>
  <c r="AB223" i="9"/>
  <c r="AC223" i="9" s="1"/>
  <c r="AB375" i="9"/>
  <c r="AC375" i="9" s="1"/>
  <c r="AB341" i="9"/>
  <c r="AC341" i="9" s="1"/>
  <c r="AB271" i="9"/>
  <c r="AC271" i="9" s="1"/>
  <c r="AB248" i="9"/>
  <c r="AC248" i="9" s="1"/>
  <c r="AB225" i="9"/>
  <c r="AC225" i="9" s="1"/>
  <c r="AB204" i="9"/>
  <c r="AC204" i="9" s="1"/>
  <c r="AB174" i="9"/>
  <c r="AC174" i="9" s="1"/>
  <c r="AB126" i="9"/>
  <c r="AC126" i="9" s="1"/>
  <c r="AB120" i="9"/>
  <c r="AC120" i="9" s="1"/>
  <c r="AB29" i="9"/>
  <c r="AC29" i="9" s="1"/>
  <c r="AB16" i="9"/>
  <c r="AC16" i="9" s="1"/>
  <c r="AB305" i="9"/>
  <c r="AC305" i="9" s="1"/>
  <c r="AB168" i="9"/>
  <c r="AC168" i="9" s="1"/>
  <c r="AB33" i="9"/>
  <c r="AC33" i="9" s="1"/>
  <c r="AB385" i="9"/>
  <c r="AC385" i="9" s="1"/>
  <c r="AB361" i="9"/>
  <c r="AC361" i="9" s="1"/>
  <c r="AB326" i="9"/>
  <c r="AC326" i="9" s="1"/>
  <c r="AB304" i="9"/>
  <c r="AC304" i="9" s="1"/>
  <c r="AB293" i="9"/>
  <c r="AC293" i="9" s="1"/>
  <c r="AB281" i="9"/>
  <c r="AC281" i="9" s="1"/>
  <c r="AB257" i="9"/>
  <c r="AC257" i="9" s="1"/>
  <c r="AB118" i="9"/>
  <c r="AC118" i="9" s="1"/>
  <c r="AB107" i="9"/>
  <c r="AC107" i="9" s="1"/>
  <c r="AB78" i="9"/>
  <c r="AC78" i="9" s="1"/>
  <c r="AB75" i="9"/>
  <c r="AC75" i="9" s="1"/>
  <c r="AB72" i="9"/>
  <c r="AC72" i="9" s="1"/>
  <c r="AB8" i="9"/>
  <c r="AB2" i="9"/>
  <c r="AB245" i="9"/>
  <c r="AC245" i="9" s="1"/>
  <c r="AB233" i="9"/>
  <c r="AC233" i="9" s="1"/>
  <c r="AB99" i="9"/>
  <c r="AB250" i="9"/>
  <c r="AC250" i="9" s="1"/>
  <c r="AB94" i="9"/>
  <c r="AC94" i="9" s="1"/>
  <c r="AB89" i="9"/>
  <c r="AC89" i="9" s="1"/>
  <c r="AB67" i="9"/>
  <c r="AC67" i="9" s="1"/>
  <c r="AB21" i="9"/>
  <c r="AC21" i="9" s="1"/>
  <c r="AB212" i="9"/>
  <c r="AC212" i="9" s="1"/>
  <c r="AB184" i="9"/>
  <c r="AC184" i="9" s="1"/>
  <c r="AB117" i="9"/>
  <c r="AC117" i="9" s="1"/>
  <c r="AB85" i="9"/>
  <c r="AC85" i="9" s="1"/>
  <c r="AB48" i="9"/>
  <c r="AC48" i="9" s="1"/>
  <c r="AB342" i="9"/>
  <c r="AC342" i="9" s="1"/>
  <c r="AB314" i="9"/>
  <c r="AC314" i="9" s="1"/>
  <c r="AB303" i="9"/>
  <c r="AC303" i="9" s="1"/>
  <c r="AB235" i="9"/>
  <c r="AC235" i="9" s="1"/>
  <c r="AB81" i="9"/>
  <c r="AC81" i="9" s="1"/>
  <c r="AB65" i="9"/>
  <c r="AC65" i="9" s="1"/>
  <c r="AB144" i="9"/>
  <c r="AC144" i="9" s="1"/>
  <c r="AB136" i="9"/>
  <c r="AC136" i="9" s="1"/>
  <c r="AB322" i="9"/>
  <c r="AC322" i="9" s="1"/>
  <c r="AB365" i="9"/>
  <c r="AC365" i="9" s="1"/>
  <c r="AB350" i="9"/>
  <c r="AC350" i="9" s="1"/>
  <c r="AB31" i="9"/>
  <c r="AC31" i="9" s="1"/>
  <c r="AB23" i="9"/>
  <c r="AC23" i="9" s="1"/>
  <c r="AB265" i="9"/>
  <c r="AC265" i="9" s="1"/>
  <c r="AB210" i="9"/>
  <c r="AC210" i="9" s="1"/>
  <c r="AB122" i="9"/>
  <c r="AC122" i="9" s="1"/>
  <c r="AB348" i="9"/>
  <c r="AC348" i="9" s="1"/>
  <c r="AB308" i="9"/>
  <c r="AC308" i="9" s="1"/>
  <c r="AB150" i="9"/>
  <c r="AC150" i="9" s="1"/>
  <c r="AB110" i="9"/>
  <c r="AC110" i="9" s="1"/>
  <c r="AB92" i="9"/>
  <c r="AC92" i="9" s="1"/>
  <c r="AB49" i="9"/>
  <c r="AC49" i="9" s="1"/>
  <c r="AB137" i="9"/>
  <c r="AC137" i="9" s="1"/>
  <c r="AB298" i="9"/>
  <c r="AC298" i="9" s="1"/>
  <c r="AB35" i="9"/>
  <c r="AC35" i="9" s="1"/>
  <c r="AB374" i="9"/>
  <c r="AC374" i="9" s="1"/>
  <c r="AB148" i="9"/>
  <c r="AC148" i="9" s="1"/>
  <c r="AB74" i="9"/>
  <c r="AC74" i="9" s="1"/>
  <c r="AB77" i="9"/>
  <c r="AC77" i="9" s="1"/>
  <c r="AB98" i="9"/>
  <c r="AB201" i="9"/>
  <c r="AC201" i="9" s="1"/>
  <c r="AB258" i="9"/>
  <c r="AC258" i="9" s="1"/>
  <c r="AB343" i="9"/>
  <c r="AC343" i="9" s="1"/>
  <c r="AB359" i="9"/>
  <c r="AC359" i="9" s="1"/>
  <c r="AB49" i="10"/>
  <c r="AB43" i="7"/>
  <c r="AB98" i="7"/>
  <c r="AC98" i="7" s="1"/>
  <c r="AB124" i="7"/>
  <c r="AC124" i="7" s="1"/>
  <c r="AB332" i="7"/>
  <c r="AC332" i="7" s="1"/>
  <c r="AB1" i="9"/>
  <c r="AC1" i="9" s="1"/>
  <c r="AB46" i="9"/>
  <c r="AC46" i="9" s="1"/>
  <c r="AB51" i="9"/>
  <c r="AC51" i="9" s="1"/>
  <c r="AB83" i="9"/>
  <c r="AC83" i="9" s="1"/>
  <c r="AB159" i="9"/>
  <c r="AC159" i="9" s="1"/>
  <c r="AB294" i="9"/>
  <c r="AC294" i="9" s="1"/>
  <c r="AB121" i="16"/>
  <c r="AC121" i="16" s="1"/>
  <c r="AB280" i="8"/>
  <c r="AC280" i="8" s="1"/>
  <c r="AB300" i="8"/>
  <c r="AC300" i="8" s="1"/>
  <c r="AB56" i="7"/>
  <c r="AC56" i="7" s="1"/>
  <c r="AB133" i="7"/>
  <c r="AC133" i="7" s="1"/>
  <c r="AB155" i="7"/>
  <c r="AC155" i="7" s="1"/>
  <c r="AB201" i="7"/>
  <c r="AC201" i="7" s="1"/>
  <c r="AB334" i="7"/>
  <c r="AC334" i="7" s="1"/>
  <c r="AB347" i="7"/>
  <c r="AC347" i="7" s="1"/>
  <c r="AB24" i="9"/>
  <c r="AC24" i="9" s="1"/>
  <c r="AB57" i="9"/>
  <c r="AC57" i="9" s="1"/>
  <c r="AB183" i="9"/>
  <c r="AC183" i="9" s="1"/>
  <c r="AB278" i="9"/>
  <c r="AC278" i="9" s="1"/>
  <c r="AB345" i="9"/>
  <c r="AC345" i="9" s="1"/>
  <c r="AB56" i="10"/>
  <c r="AC56" i="10" s="1"/>
  <c r="AB86" i="16"/>
  <c r="AC86" i="16" s="1"/>
  <c r="AB252" i="7"/>
  <c r="AC252" i="7" s="1"/>
  <c r="AB344" i="7"/>
  <c r="AC344" i="7" s="1"/>
  <c r="AB356" i="7"/>
  <c r="AC356" i="7" s="1"/>
  <c r="AB9" i="9"/>
  <c r="AC9" i="9" s="1"/>
  <c r="AB151" i="9"/>
  <c r="AC151" i="9" s="1"/>
  <c r="AB178" i="9"/>
  <c r="AC178" i="9" s="1"/>
  <c r="AB218" i="9"/>
  <c r="AC218" i="9" s="1"/>
  <c r="AB71" i="17"/>
  <c r="AC71" i="17" s="1"/>
  <c r="AB99" i="7"/>
  <c r="AB166" i="7"/>
  <c r="AC166" i="7" s="1"/>
  <c r="AB345" i="7"/>
  <c r="AC345" i="7" s="1"/>
  <c r="AB42" i="9"/>
  <c r="AC42" i="9" s="1"/>
  <c r="AB47" i="9"/>
  <c r="AC47" i="9" s="1"/>
  <c r="AB52" i="9"/>
  <c r="AC52" i="9" s="1"/>
  <c r="AB161" i="9"/>
  <c r="AC161" i="9" s="1"/>
  <c r="AB263" i="9"/>
  <c r="AC263" i="9" s="1"/>
  <c r="AB280" i="9"/>
  <c r="AC280" i="9" s="1"/>
  <c r="AB344" i="9"/>
  <c r="AC344" i="9" s="1"/>
  <c r="AB89" i="7"/>
  <c r="AB24" i="16"/>
  <c r="AC24" i="16" s="1"/>
  <c r="AB50" i="16"/>
  <c r="AC50" i="16" s="1"/>
  <c r="AB6" i="7"/>
  <c r="AC6" i="7" s="1"/>
  <c r="AB199" i="7"/>
  <c r="AC199" i="7" s="1"/>
  <c r="AB255" i="7"/>
  <c r="AC255" i="7" s="1"/>
  <c r="AB278" i="7"/>
  <c r="AC278" i="7" s="1"/>
  <c r="AB311" i="7"/>
  <c r="AC311" i="7" s="1"/>
  <c r="AB129" i="9"/>
  <c r="AC129" i="9" s="1"/>
  <c r="AB200" i="9"/>
  <c r="AC200" i="9" s="1"/>
  <c r="AB249" i="9"/>
  <c r="AC249" i="9" s="1"/>
  <c r="AB313" i="9"/>
  <c r="AC313" i="9" s="1"/>
  <c r="AB330" i="9"/>
  <c r="AC330" i="9" s="1"/>
  <c r="AB376" i="9"/>
  <c r="AC376" i="9" s="1"/>
  <c r="AB52" i="16"/>
  <c r="AC52" i="16" s="1"/>
  <c r="AB193" i="8"/>
  <c r="AC193" i="8" s="1"/>
  <c r="AB227" i="8"/>
  <c r="AC227" i="8" s="1"/>
  <c r="AB270" i="8"/>
  <c r="AC270" i="8" s="1"/>
  <c r="AB322" i="8"/>
  <c r="AC322" i="8" s="1"/>
  <c r="AB374" i="8"/>
  <c r="AC374" i="8" s="1"/>
  <c r="AB16" i="7"/>
  <c r="AB243" i="7"/>
  <c r="AC243" i="7" s="1"/>
  <c r="AB314" i="7"/>
  <c r="AC314" i="7" s="1"/>
  <c r="AB333" i="7"/>
  <c r="AC333" i="7" s="1"/>
  <c r="AB115" i="9"/>
  <c r="AC115" i="9" s="1"/>
  <c r="AB124" i="9"/>
  <c r="AC124" i="9" s="1"/>
  <c r="AB140" i="9"/>
  <c r="AC140" i="9" s="1"/>
  <c r="AB335" i="9"/>
  <c r="AC335" i="9" s="1"/>
  <c r="AB377" i="9"/>
  <c r="AC377" i="9" s="1"/>
  <c r="AB271" i="8"/>
  <c r="AC271" i="8" s="1"/>
  <c r="AB314" i="8"/>
  <c r="AC314" i="8" s="1"/>
  <c r="AB366" i="8"/>
  <c r="AC366" i="8" s="1"/>
  <c r="AB33" i="7"/>
  <c r="AC33" i="7" s="1"/>
  <c r="AB234" i="7"/>
  <c r="AC234" i="7" s="1"/>
  <c r="AB39" i="9"/>
  <c r="AC39" i="9" s="1"/>
  <c r="AB60" i="9"/>
  <c r="AC60" i="9" s="1"/>
  <c r="AB62" i="9"/>
  <c r="AC62" i="9" s="1"/>
  <c r="AB195" i="9"/>
  <c r="AC195" i="9" s="1"/>
  <c r="AB221" i="9"/>
  <c r="AC221" i="9" s="1"/>
  <c r="AB10" i="7"/>
  <c r="AB45" i="7"/>
  <c r="AB49" i="7"/>
  <c r="AB59" i="7"/>
  <c r="AC59" i="7" s="1"/>
  <c r="AB132" i="7"/>
  <c r="AC132" i="7" s="1"/>
  <c r="AB245" i="7"/>
  <c r="AC245" i="7" s="1"/>
  <c r="AB295" i="7"/>
  <c r="AC295" i="7" s="1"/>
  <c r="AB335" i="7"/>
  <c r="AC335" i="7" s="1"/>
  <c r="AB365" i="7"/>
  <c r="AC365" i="7" s="1"/>
  <c r="AB64" i="9"/>
  <c r="AC64" i="9" s="1"/>
  <c r="AB86" i="9"/>
  <c r="AC86" i="9" s="1"/>
  <c r="AB156" i="9"/>
  <c r="AC156" i="9" s="1"/>
  <c r="AB189" i="9"/>
  <c r="AC189" i="9" s="1"/>
  <c r="AB95" i="16"/>
  <c r="AC95" i="16" s="1"/>
  <c r="AB41" i="16"/>
  <c r="AC41" i="16" s="1"/>
  <c r="AB21" i="16"/>
  <c r="AC21" i="16" s="1"/>
  <c r="AB59" i="16"/>
  <c r="AC59" i="16" s="1"/>
  <c r="AB33" i="16"/>
  <c r="AB42" i="16"/>
  <c r="AC42" i="16" s="1"/>
  <c r="AB64" i="16"/>
  <c r="AB40" i="16"/>
  <c r="AC40" i="16" s="1"/>
  <c r="AB53" i="16"/>
  <c r="AB93" i="16"/>
  <c r="AC93" i="16" s="1"/>
  <c r="AB136" i="8"/>
  <c r="AC136" i="8" s="1"/>
  <c r="AB171" i="8"/>
  <c r="AC171" i="8" s="1"/>
  <c r="AB220" i="8"/>
  <c r="AC220" i="8" s="1"/>
  <c r="AB315" i="8"/>
  <c r="AC315" i="8" s="1"/>
  <c r="AB358" i="8"/>
  <c r="AC358" i="8" s="1"/>
  <c r="AB29" i="7"/>
  <c r="AB55" i="7"/>
  <c r="AC55" i="7" s="1"/>
  <c r="AB67" i="7"/>
  <c r="AC67" i="7" s="1"/>
  <c r="AB140" i="7"/>
  <c r="AC140" i="7" s="1"/>
  <c r="AB225" i="7"/>
  <c r="AC225" i="7" s="1"/>
  <c r="AB235" i="7"/>
  <c r="AC235" i="7" s="1"/>
  <c r="AB37" i="9"/>
  <c r="AC37" i="9" s="1"/>
  <c r="AB113" i="9"/>
  <c r="AC113" i="9" s="1"/>
  <c r="AB177" i="9"/>
  <c r="AC177" i="9" s="1"/>
  <c r="AB297" i="9"/>
  <c r="AC297" i="9" s="1"/>
  <c r="AB17" i="16"/>
  <c r="AC17" i="16" s="1"/>
  <c r="AB198" i="8"/>
  <c r="AC198" i="8" s="1"/>
  <c r="AB65" i="7"/>
  <c r="AC65" i="7" s="1"/>
  <c r="AB71" i="7"/>
  <c r="AC71" i="7" s="1"/>
  <c r="AB81" i="7"/>
  <c r="AC81" i="7" s="1"/>
  <c r="AB144" i="7"/>
  <c r="AC144" i="7" s="1"/>
  <c r="AB162" i="7"/>
  <c r="AC162" i="7" s="1"/>
  <c r="AB355" i="7"/>
  <c r="AC355" i="7" s="1"/>
  <c r="AB25" i="9"/>
  <c r="AC25" i="9" s="1"/>
  <c r="AB58" i="9"/>
  <c r="AC58" i="9" s="1"/>
  <c r="AB69" i="9"/>
  <c r="AC69" i="9" s="1"/>
  <c r="AB97" i="9"/>
  <c r="AB237" i="9"/>
  <c r="AC237" i="9" s="1"/>
  <c r="AB252" i="9"/>
  <c r="AC252" i="9" s="1"/>
  <c r="AB337" i="9"/>
  <c r="AC337" i="9" s="1"/>
  <c r="AB366" i="9"/>
  <c r="AC366" i="9" s="1"/>
  <c r="AB115" i="7"/>
  <c r="AC115" i="7" s="1"/>
  <c r="AB143" i="7"/>
  <c r="AC143" i="7" s="1"/>
  <c r="AB269" i="7"/>
  <c r="AC269" i="7" s="1"/>
  <c r="AB130" i="9"/>
  <c r="AC130" i="9" s="1"/>
  <c r="AB132" i="9"/>
  <c r="AC132" i="9" s="1"/>
  <c r="AB194" i="9"/>
  <c r="AC194" i="9" s="1"/>
  <c r="AB340" i="9"/>
  <c r="AC340" i="9" s="1"/>
  <c r="AB54" i="10"/>
  <c r="AB125" i="16"/>
  <c r="AC125" i="16" s="1"/>
  <c r="AB124" i="17"/>
  <c r="AC124" i="17" s="1"/>
  <c r="AB137" i="7"/>
  <c r="AC137" i="7" s="1"/>
  <c r="AB165" i="7"/>
  <c r="AC165" i="7" s="1"/>
  <c r="AB313" i="7"/>
  <c r="AC313" i="7" s="1"/>
  <c r="AB63" i="9"/>
  <c r="AC63" i="9" s="1"/>
  <c r="AB222" i="9"/>
  <c r="AC222" i="9" s="1"/>
  <c r="AB275" i="9"/>
  <c r="AC275" i="9" s="1"/>
  <c r="AB354" i="9"/>
  <c r="AC354" i="9" s="1"/>
  <c r="AB54" i="16"/>
  <c r="AB148" i="7"/>
  <c r="AC148" i="7" s="1"/>
  <c r="AB176" i="7"/>
  <c r="AC176" i="7" s="1"/>
  <c r="AB261" i="7"/>
  <c r="AC261" i="7" s="1"/>
  <c r="AB379" i="9"/>
  <c r="AC379" i="9" s="1"/>
  <c r="AB106" i="16"/>
  <c r="AC106" i="16" s="1"/>
  <c r="AB23" i="7"/>
  <c r="AC23" i="7" s="1"/>
  <c r="AB159" i="7"/>
  <c r="AC159" i="7" s="1"/>
  <c r="AB187" i="7"/>
  <c r="AC187" i="7" s="1"/>
  <c r="AB357" i="7"/>
  <c r="AC357" i="7" s="1"/>
  <c r="AB153" i="9"/>
  <c r="AC153" i="9" s="1"/>
  <c r="AB328" i="9"/>
  <c r="AC328" i="9" s="1"/>
  <c r="AB356" i="9"/>
  <c r="AC356" i="9" s="1"/>
  <c r="AB380" i="9"/>
  <c r="AC380" i="9" s="1"/>
  <c r="AB67" i="16"/>
  <c r="AC67" i="16" s="1"/>
  <c r="AB34" i="7"/>
  <c r="AB170" i="7"/>
  <c r="AC170" i="7" s="1"/>
  <c r="AB198" i="7"/>
  <c r="AC198" i="7" s="1"/>
  <c r="AB305" i="7"/>
  <c r="AC305" i="7" s="1"/>
  <c r="AB96" i="9"/>
  <c r="AC96" i="9" s="1"/>
  <c r="AB291" i="9"/>
  <c r="AC291" i="9" s="1"/>
  <c r="AB79" i="16"/>
  <c r="AC79" i="16" s="1"/>
  <c r="AB63" i="17"/>
  <c r="AC63" i="17" s="1"/>
  <c r="AB373" i="9"/>
  <c r="AC373" i="9" s="1"/>
  <c r="AB56" i="9"/>
  <c r="AC56" i="9" s="1"/>
  <c r="AB176" i="9"/>
  <c r="AC176" i="9" s="1"/>
  <c r="AB269" i="9"/>
  <c r="AC269" i="9" s="1"/>
  <c r="AB83" i="17"/>
  <c r="AC83" i="17" s="1"/>
  <c r="AB112" i="9"/>
  <c r="AC112" i="9" s="1"/>
  <c r="AB387" i="9"/>
  <c r="AC387" i="9" s="1"/>
  <c r="AB80" i="18"/>
  <c r="AC80" i="18" s="1"/>
  <c r="AB104" i="9"/>
  <c r="AC104" i="9" s="1"/>
  <c r="AB259" i="9"/>
  <c r="AC259" i="9" s="1"/>
  <c r="AB32" i="16"/>
  <c r="AC32" i="16" s="1"/>
  <c r="AB123" i="9"/>
  <c r="AC123" i="9" s="1"/>
  <c r="AB192" i="9"/>
  <c r="AC192" i="9" s="1"/>
  <c r="AB295" i="9"/>
  <c r="AC295" i="9" s="1"/>
  <c r="AB352" i="9"/>
  <c r="AC352" i="9" s="1"/>
  <c r="AB37" i="16"/>
  <c r="AB78" i="18"/>
  <c r="AC78" i="18" s="1"/>
  <c r="AB72" i="18"/>
  <c r="AC72" i="18" s="1"/>
  <c r="AB18" i="18"/>
  <c r="AC18" i="18" s="1"/>
  <c r="AB107" i="18"/>
  <c r="AC107" i="18" s="1"/>
  <c r="AB28" i="18"/>
  <c r="AC28" i="18" s="1"/>
  <c r="AB44" i="18"/>
  <c r="AC44" i="18" s="1"/>
  <c r="AB36" i="18"/>
  <c r="AC36" i="18" s="1"/>
  <c r="AB33" i="18"/>
  <c r="AC33" i="18" s="1"/>
  <c r="AB25" i="18"/>
  <c r="AC25" i="18" s="1"/>
  <c r="AB90" i="9"/>
  <c r="AB160" i="9"/>
  <c r="AC160" i="9" s="1"/>
  <c r="AB188" i="9"/>
  <c r="AC188" i="9" s="1"/>
  <c r="AB317" i="9"/>
  <c r="AC317" i="9" s="1"/>
  <c r="AB338" i="9"/>
  <c r="AC338" i="9" s="1"/>
  <c r="AB46" i="18"/>
  <c r="AC46" i="18" s="1"/>
  <c r="AB234" i="9"/>
  <c r="AC234" i="9" s="1"/>
  <c r="AB339" i="9"/>
  <c r="AC339" i="9" s="1"/>
  <c r="AB43" i="10"/>
  <c r="AB11" i="16"/>
  <c r="AC11" i="16" s="1"/>
  <c r="AB38" i="16"/>
  <c r="AB13" i="16"/>
  <c r="AC13" i="16" s="1"/>
  <c r="AB84" i="16"/>
  <c r="AC84" i="16" s="1"/>
  <c r="AB112" i="16"/>
  <c r="AC112" i="16" s="1"/>
  <c r="AB20" i="16"/>
  <c r="AC20" i="16" s="1"/>
  <c r="AB115" i="16"/>
  <c r="AC115" i="16" s="1"/>
  <c r="AB134" i="9"/>
  <c r="AC134" i="9" s="1"/>
  <c r="AB179" i="9"/>
  <c r="AC179" i="9" s="1"/>
  <c r="AB216" i="9"/>
  <c r="AC216" i="9" s="1"/>
  <c r="AB299" i="9"/>
  <c r="AC299" i="9" s="1"/>
  <c r="AB300" i="9"/>
  <c r="AC300" i="9" s="1"/>
  <c r="AB351" i="9"/>
  <c r="AC351" i="9" s="1"/>
  <c r="AB44" i="10"/>
  <c r="AC44" i="10" s="1"/>
  <c r="AB35" i="16"/>
  <c r="AB71" i="16"/>
  <c r="AC71" i="16" s="1"/>
  <c r="AB56" i="18"/>
  <c r="AB199" i="9"/>
  <c r="AC199" i="9" s="1"/>
  <c r="AB268" i="9"/>
  <c r="AC268" i="9" s="1"/>
  <c r="AB29" i="16"/>
  <c r="AB74" i="16"/>
  <c r="AC74" i="16" s="1"/>
  <c r="AB113" i="16"/>
  <c r="AC113" i="16" s="1"/>
  <c r="AB57" i="17"/>
  <c r="AC57" i="17" s="1"/>
  <c r="AB173" i="9"/>
  <c r="AC173" i="9" s="1"/>
  <c r="AB217" i="9"/>
  <c r="AC217" i="9" s="1"/>
  <c r="AB251" i="9"/>
  <c r="AC251" i="9" s="1"/>
  <c r="AB306" i="9"/>
  <c r="AC306" i="9" s="1"/>
  <c r="AB362" i="9"/>
  <c r="AC362" i="9" s="1"/>
  <c r="AB372" i="9"/>
  <c r="AC372" i="9" s="1"/>
  <c r="AB30" i="16"/>
  <c r="AB94" i="18"/>
  <c r="AC94" i="18" s="1"/>
  <c r="AB208" i="9"/>
  <c r="AC208" i="9" s="1"/>
  <c r="AB100" i="16"/>
  <c r="AC100" i="16" s="1"/>
  <c r="AB19" i="17"/>
  <c r="AC19" i="17" s="1"/>
  <c r="AB27" i="17"/>
  <c r="AC27" i="17" s="1"/>
  <c r="AB51" i="16"/>
  <c r="AC51" i="16" s="1"/>
  <c r="AB155" i="9"/>
  <c r="AC155" i="9" s="1"/>
  <c r="AB364" i="9"/>
  <c r="AC364" i="9" s="1"/>
  <c r="AB55" i="10"/>
  <c r="AC55" i="10" s="1"/>
  <c r="AB91" i="17"/>
  <c r="AC91" i="17" s="1"/>
  <c r="AB370" i="9"/>
  <c r="AC370" i="9" s="1"/>
  <c r="AB88" i="16"/>
  <c r="AC88" i="16" s="1"/>
  <c r="AB107" i="16"/>
  <c r="AC107" i="16" s="1"/>
  <c r="AB74" i="18"/>
  <c r="AC74" i="18" s="1"/>
  <c r="AB7" i="16"/>
  <c r="AC7" i="16" s="1"/>
  <c r="AB123" i="16"/>
  <c r="AC123" i="16" s="1"/>
  <c r="AB90" i="16"/>
  <c r="AC90" i="16" s="1"/>
  <c r="AB45" i="16"/>
  <c r="AC45" i="16" s="1"/>
  <c r="AB122" i="16"/>
  <c r="AC122" i="16" s="1"/>
  <c r="AB108" i="16"/>
  <c r="AC108" i="16" s="1"/>
  <c r="AB39" i="17"/>
  <c r="AC39" i="17" s="1"/>
  <c r="AB355" i="9"/>
  <c r="AC355" i="9" s="1"/>
  <c r="AB15" i="10"/>
  <c r="AB27" i="16"/>
  <c r="AB62" i="16"/>
  <c r="AC62" i="16" s="1"/>
  <c r="AB85" i="17"/>
  <c r="AC85" i="17" s="1"/>
  <c r="AB31" i="10"/>
  <c r="AB55" i="16"/>
  <c r="AC55" i="16" s="1"/>
  <c r="AB69" i="16"/>
  <c r="AC69" i="16" s="1"/>
  <c r="AB75" i="16"/>
  <c r="AC75" i="16" s="1"/>
  <c r="AB99" i="16"/>
  <c r="AC99" i="16" s="1"/>
  <c r="AB110" i="16"/>
  <c r="AC110" i="16" s="1"/>
  <c r="AB21" i="17"/>
  <c r="AC21" i="17" s="1"/>
  <c r="AB75" i="17"/>
  <c r="AC75" i="17" s="1"/>
  <c r="AB103" i="17"/>
  <c r="AC103" i="17" s="1"/>
  <c r="AB122" i="17"/>
  <c r="AC122" i="17" s="1"/>
  <c r="AB1" i="10"/>
  <c r="AC1" i="10" s="1"/>
  <c r="AB31" i="17"/>
  <c r="AC31" i="17" s="1"/>
  <c r="AB104" i="17"/>
  <c r="AC104" i="17" s="1"/>
  <c r="AB39" i="16"/>
  <c r="AC39" i="16" s="1"/>
  <c r="AB48" i="16"/>
  <c r="AC48" i="16" s="1"/>
  <c r="AB110" i="17"/>
  <c r="AC110" i="17" s="1"/>
  <c r="AB52" i="10"/>
  <c r="AB101" i="16"/>
  <c r="AC101" i="16" s="1"/>
  <c r="AB83" i="16"/>
  <c r="AC83" i="16" s="1"/>
  <c r="AB105" i="16"/>
  <c r="AC105" i="16" s="1"/>
  <c r="AB37" i="17"/>
  <c r="AC37" i="17" s="1"/>
  <c r="A21" i="16"/>
  <c r="AB14" i="16"/>
  <c r="AC14" i="16" s="1"/>
  <c r="AB72" i="16"/>
  <c r="AC72" i="16" s="1"/>
  <c r="AB60" i="18"/>
  <c r="AC60" i="18" s="1"/>
  <c r="AB80" i="16"/>
  <c r="AC80" i="16" s="1"/>
  <c r="AB7" i="17"/>
  <c r="AC7" i="17" s="1"/>
  <c r="AB41" i="10"/>
  <c r="AB31" i="16"/>
  <c r="AC31" i="16" s="1"/>
  <c r="AB98" i="16"/>
  <c r="AC98" i="16" s="1"/>
  <c r="AB34" i="18"/>
  <c r="AB43" i="16"/>
  <c r="AB66" i="16"/>
  <c r="AC66" i="16" s="1"/>
  <c r="AB114" i="16"/>
  <c r="AC114" i="16" s="1"/>
  <c r="AB79" i="17"/>
  <c r="AC79" i="17" s="1"/>
  <c r="AB16" i="18"/>
  <c r="AC16" i="18" s="1"/>
  <c r="AB64" i="18"/>
  <c r="AC64" i="18" s="1"/>
  <c r="AB104" i="18"/>
  <c r="AC104" i="18" s="1"/>
  <c r="AB96" i="16"/>
  <c r="AC96" i="16" s="1"/>
  <c r="AB41" i="17"/>
  <c r="AC41" i="17" s="1"/>
  <c r="AB87" i="17"/>
  <c r="AC87" i="17" s="1"/>
  <c r="AB50" i="18"/>
  <c r="AC50" i="18" s="1"/>
  <c r="AB88" i="18"/>
  <c r="AC88" i="18" s="1"/>
  <c r="AB122" i="18"/>
  <c r="AC122" i="18" s="1"/>
  <c r="AB22" i="16"/>
  <c r="AC22" i="16" s="1"/>
  <c r="AB26" i="16"/>
  <c r="AB16" i="16"/>
  <c r="AC16" i="16" s="1"/>
  <c r="AB57" i="16"/>
  <c r="AC57" i="16" s="1"/>
  <c r="AB81" i="16"/>
  <c r="AC81" i="16" s="1"/>
  <c r="AB102" i="16"/>
  <c r="AC102" i="16" s="1"/>
  <c r="AB53" i="17"/>
  <c r="AB113" i="17"/>
  <c r="AC113" i="17" s="1"/>
  <c r="AB30" i="18"/>
  <c r="AC30" i="18" s="1"/>
  <c r="AB19" i="16"/>
  <c r="AC19" i="16" s="1"/>
  <c r="AB117" i="16"/>
  <c r="AC117" i="16" s="1"/>
  <c r="AB28" i="16"/>
  <c r="AB97" i="16"/>
  <c r="AC97" i="16" s="1"/>
  <c r="AB52" i="18"/>
  <c r="AC52" i="18" s="1"/>
  <c r="AB120" i="18"/>
  <c r="AC120" i="18" s="1"/>
  <c r="AB12" i="16"/>
  <c r="AC12" i="16" s="1"/>
  <c r="AB46" i="16"/>
  <c r="AC46" i="16" s="1"/>
  <c r="AB60" i="16"/>
  <c r="AB77" i="17"/>
  <c r="AC77" i="17" s="1"/>
  <c r="AB70" i="18"/>
  <c r="AC70" i="18" s="1"/>
  <c r="AB105" i="18"/>
  <c r="AC105" i="18" s="1"/>
  <c r="AB61" i="16"/>
  <c r="AC61" i="16" s="1"/>
  <c r="AB77" i="16"/>
  <c r="AC77" i="16" s="1"/>
  <c r="AB116" i="16"/>
  <c r="AC116" i="16" s="1"/>
  <c r="AB76" i="16"/>
  <c r="AC76" i="16" s="1"/>
  <c r="AB47" i="16"/>
  <c r="AC47" i="16" s="1"/>
  <c r="AB65" i="16"/>
  <c r="AB24" i="18"/>
  <c r="AC24" i="18" s="1"/>
  <c r="AB98" i="18"/>
  <c r="AC98" i="18" s="1"/>
  <c r="AB108" i="18"/>
  <c r="AC108" i="18" s="1"/>
  <c r="AB2" i="16"/>
  <c r="AC2" i="16" s="1"/>
  <c r="AB10" i="16"/>
  <c r="AC10" i="16" s="1"/>
  <c r="AB94" i="16"/>
  <c r="AC94" i="16" s="1"/>
  <c r="AB55" i="17"/>
  <c r="AB36" i="16"/>
  <c r="AC36" i="16" s="1"/>
  <c r="AB49" i="16"/>
  <c r="AC49" i="16" s="1"/>
  <c r="AB118" i="16"/>
  <c r="AC118" i="16" s="1"/>
  <c r="AB12" i="18"/>
  <c r="AC12" i="18" s="1"/>
  <c r="AB66" i="18"/>
  <c r="AC66" i="18" s="1"/>
  <c r="AB106" i="18"/>
  <c r="AC106" i="18" s="1"/>
  <c r="AB4" i="16"/>
  <c r="AC4" i="16" s="1"/>
  <c r="AB73" i="16"/>
  <c r="AC73" i="16" s="1"/>
  <c r="AB17" i="18"/>
  <c r="AC17" i="18" s="1"/>
  <c r="AB34" i="16"/>
  <c r="AC34" i="16" s="1"/>
  <c r="AB44" i="16"/>
  <c r="AC44" i="16" s="1"/>
  <c r="AB32" i="18"/>
  <c r="AC32" i="18" s="1"/>
  <c r="AB96" i="18"/>
  <c r="AC96" i="18" s="1"/>
  <c r="AB35" i="18"/>
  <c r="AC35" i="18" s="1"/>
  <c r="AB19" i="18"/>
  <c r="AC19" i="18" s="1"/>
  <c r="AB9" i="18"/>
  <c r="AC9" i="18" s="1"/>
  <c r="AB15" i="18"/>
  <c r="AC15" i="18" s="1"/>
  <c r="AB111" i="18"/>
  <c r="AC111" i="18" s="1"/>
  <c r="AB23" i="18"/>
  <c r="AC23" i="18" s="1"/>
  <c r="AB7" i="18"/>
  <c r="AC7" i="18" s="1"/>
  <c r="AB76" i="18"/>
  <c r="AC76" i="18" s="1"/>
  <c r="AB54" i="18"/>
  <c r="AC54" i="18" s="1"/>
  <c r="AB27" i="18"/>
  <c r="AC27" i="18" s="1"/>
  <c r="AB11" i="18"/>
  <c r="AC11" i="18" s="1"/>
  <c r="AB62" i="18"/>
  <c r="AC62" i="18" s="1"/>
  <c r="AB6" i="18"/>
  <c r="AC6" i="18" s="1"/>
  <c r="AB109" i="18"/>
  <c r="AC109" i="18" s="1"/>
  <c r="AB58" i="16"/>
  <c r="AB119" i="17"/>
  <c r="AC119" i="17" s="1"/>
  <c r="AB4" i="18"/>
  <c r="AC4" i="18" s="1"/>
  <c r="AB119" i="16"/>
  <c r="AC119" i="16" s="1"/>
  <c r="AB89" i="16"/>
  <c r="AC89" i="16" s="1"/>
  <c r="AB70" i="16"/>
  <c r="AC70" i="16" s="1"/>
  <c r="AB109" i="16"/>
  <c r="AC109" i="16" s="1"/>
  <c r="AB103" i="16"/>
  <c r="AC103" i="16" s="1"/>
  <c r="AB91" i="16"/>
  <c r="AC91" i="16" s="1"/>
  <c r="AB18" i="16"/>
  <c r="AC18" i="16" s="1"/>
  <c r="AB95" i="17"/>
  <c r="AC95" i="17" s="1"/>
  <c r="AB42" i="18"/>
  <c r="AC42" i="18" s="1"/>
  <c r="AB68" i="18"/>
  <c r="AC68" i="18" s="1"/>
  <c r="AB90" i="18"/>
  <c r="AC90" i="18" s="1"/>
  <c r="AB58" i="18"/>
  <c r="AC58" i="18" s="1"/>
  <c r="AB10" i="18"/>
  <c r="AC10" i="18" s="1"/>
  <c r="AB26" i="18"/>
  <c r="AB68" i="16"/>
  <c r="AC68" i="16" s="1"/>
  <c r="AB78" i="16"/>
  <c r="AC78" i="16" s="1"/>
  <c r="AB110" i="18"/>
  <c r="AC110" i="18" s="1"/>
  <c r="AB89" i="17"/>
  <c r="AC89" i="17" s="1"/>
  <c r="AB84" i="18"/>
  <c r="AC84" i="18" s="1"/>
  <c r="AB5" i="17"/>
  <c r="AC5" i="17" s="1"/>
  <c r="AB45" i="17"/>
  <c r="AC45" i="17" s="1"/>
  <c r="AB118" i="17"/>
  <c r="AC118" i="17" s="1"/>
  <c r="AB116" i="17"/>
  <c r="AC116" i="17" s="1"/>
  <c r="AB3" i="17"/>
  <c r="AC3" i="17" s="1"/>
  <c r="AB29" i="17"/>
  <c r="AC29" i="17" s="1"/>
  <c r="AB101" i="17"/>
  <c r="AC101" i="17" s="1"/>
  <c r="AB22" i="18"/>
  <c r="AC22" i="18" s="1"/>
  <c r="AB82" i="18"/>
  <c r="AC82" i="18" s="1"/>
  <c r="AB92" i="18"/>
  <c r="AC92" i="18" s="1"/>
  <c r="AB111" i="16"/>
  <c r="AC111" i="16" s="1"/>
  <c r="AB11" i="17"/>
  <c r="AC11" i="17" s="1"/>
  <c r="AB108" i="17"/>
  <c r="AC108" i="17" s="1"/>
  <c r="AB113" i="18"/>
  <c r="AC113" i="18" s="1"/>
  <c r="AB120" i="16"/>
  <c r="AC120" i="16" s="1"/>
  <c r="AB38" i="18"/>
  <c r="AC38" i="18" s="1"/>
  <c r="AB123" i="18"/>
  <c r="AC123" i="18" s="1"/>
  <c r="AB103" i="18"/>
  <c r="AC103" i="18" s="1"/>
  <c r="AB101" i="18"/>
  <c r="AC101" i="18" s="1"/>
  <c r="AB99" i="18"/>
  <c r="AC99" i="18" s="1"/>
  <c r="AB97" i="18"/>
  <c r="AC97" i="18" s="1"/>
  <c r="AB95" i="18"/>
  <c r="AC95" i="18" s="1"/>
  <c r="AB93" i="18"/>
  <c r="AC93" i="18" s="1"/>
  <c r="AB91" i="18"/>
  <c r="AC91" i="18" s="1"/>
  <c r="AB89" i="18"/>
  <c r="AC89" i="18" s="1"/>
  <c r="AB87" i="18"/>
  <c r="AC87" i="18" s="1"/>
  <c r="AB85" i="18"/>
  <c r="AC85" i="18" s="1"/>
  <c r="AB83" i="18"/>
  <c r="AC83" i="18" s="1"/>
  <c r="AB81" i="18"/>
  <c r="AC81" i="18" s="1"/>
  <c r="AB79" i="18"/>
  <c r="AC79" i="18" s="1"/>
  <c r="AB77" i="18"/>
  <c r="AC77" i="18" s="1"/>
  <c r="AB75" i="18"/>
  <c r="AC75" i="18" s="1"/>
  <c r="AB73" i="18"/>
  <c r="AC73" i="18" s="1"/>
  <c r="AB71" i="18"/>
  <c r="AC71" i="18" s="1"/>
  <c r="AB69" i="18"/>
  <c r="AC69" i="18" s="1"/>
  <c r="AB67" i="18"/>
  <c r="AC67" i="18" s="1"/>
  <c r="AB65" i="18"/>
  <c r="AC65" i="18" s="1"/>
  <c r="AB63" i="18"/>
  <c r="AC63" i="18" s="1"/>
  <c r="AB61" i="18"/>
  <c r="AC61" i="18" s="1"/>
  <c r="AB59" i="18"/>
  <c r="AC59" i="18" s="1"/>
  <c r="AB57" i="18"/>
  <c r="AC57" i="18" s="1"/>
  <c r="AB55" i="18"/>
  <c r="AC55" i="18" s="1"/>
  <c r="AB53" i="18"/>
  <c r="AC53" i="18" s="1"/>
  <c r="AB51" i="18"/>
  <c r="AC51" i="18" s="1"/>
  <c r="AB49" i="18"/>
  <c r="AC49" i="18" s="1"/>
  <c r="AB47" i="18"/>
  <c r="AC47" i="18" s="1"/>
  <c r="AB45" i="18"/>
  <c r="AC45" i="18" s="1"/>
  <c r="AB43" i="18"/>
  <c r="AC43" i="18" s="1"/>
  <c r="AB41" i="18"/>
  <c r="AC41" i="18" s="1"/>
  <c r="AB39" i="18"/>
  <c r="AC39" i="18" s="1"/>
  <c r="AB29" i="18"/>
  <c r="AB124" i="18"/>
  <c r="AC124" i="18" s="1"/>
  <c r="AB115" i="18"/>
  <c r="AC115" i="18" s="1"/>
  <c r="AB31" i="18"/>
  <c r="AC31" i="18" s="1"/>
  <c r="AB5" i="18"/>
  <c r="AC5" i="18" s="1"/>
  <c r="AB48" i="18"/>
  <c r="AC48" i="18" s="1"/>
  <c r="AB1" i="18"/>
  <c r="AC1" i="18" s="1"/>
  <c r="AB21" i="18"/>
  <c r="AC21" i="18" s="1"/>
  <c r="AB37" i="18"/>
  <c r="AC37" i="18" s="1"/>
  <c r="AB112" i="17"/>
  <c r="AC112" i="17" s="1"/>
  <c r="AB121" i="17"/>
  <c r="AC121" i="17" s="1"/>
  <c r="AB116" i="18"/>
  <c r="AC116" i="18" s="1"/>
  <c r="AB125" i="18"/>
  <c r="AC125" i="18" s="1"/>
  <c r="AC64" i="16" l="1"/>
  <c r="AC54" i="17"/>
  <c r="AC65" i="16"/>
  <c r="AC53" i="17"/>
  <c r="A95" i="17" s="1"/>
  <c r="AC64" i="17"/>
  <c r="AC56" i="18"/>
  <c r="AC65" i="17"/>
  <c r="AC54" i="16"/>
  <c r="A73" i="16" s="1"/>
  <c r="AC59" i="17"/>
  <c r="AC58" i="16"/>
  <c r="AC55" i="17"/>
  <c r="AC60" i="16"/>
  <c r="AC53" i="16"/>
  <c r="AC101" i="10"/>
  <c r="AC70" i="10"/>
  <c r="AC114" i="8"/>
  <c r="AC104" i="8"/>
  <c r="A149" i="8" s="1"/>
  <c r="AC124" i="8"/>
  <c r="AC119" i="8"/>
  <c r="AC106" i="8"/>
  <c r="AC108" i="8"/>
  <c r="AC107" i="8"/>
  <c r="AC121" i="8"/>
  <c r="AC109" i="8"/>
  <c r="AC110" i="8"/>
  <c r="AC117" i="8"/>
  <c r="AC118" i="8"/>
  <c r="AC115" i="8"/>
  <c r="AC111" i="8"/>
  <c r="AC102" i="8"/>
  <c r="AC99" i="7"/>
  <c r="AC96" i="7"/>
  <c r="AC92" i="7"/>
  <c r="AC93" i="7"/>
  <c r="AC80" i="7"/>
  <c r="AC88" i="7"/>
  <c r="AC101" i="7"/>
  <c r="AC72" i="7"/>
  <c r="AC94" i="7"/>
  <c r="AC111" i="7"/>
  <c r="AC110" i="7"/>
  <c r="AC85" i="7"/>
  <c r="AC96" i="10"/>
  <c r="AC94" i="10"/>
  <c r="AC89" i="7"/>
  <c r="AC87" i="7"/>
  <c r="AC84" i="7"/>
  <c r="AC91" i="7"/>
  <c r="AC95" i="7"/>
  <c r="AC70" i="7"/>
  <c r="AC90" i="7"/>
  <c r="AC106" i="7"/>
  <c r="AC104" i="7"/>
  <c r="AC95" i="10"/>
  <c r="A202" i="10" s="1"/>
  <c r="AC99" i="10"/>
  <c r="AC97" i="9"/>
  <c r="AC90" i="9"/>
  <c r="AC98" i="9"/>
  <c r="AC99" i="9"/>
  <c r="AC103" i="9"/>
  <c r="AC100" i="9"/>
  <c r="AC91" i="9"/>
  <c r="AC93" i="9"/>
  <c r="AC95" i="9"/>
  <c r="AC102" i="9"/>
  <c r="AC21" i="8"/>
  <c r="AC41" i="7"/>
  <c r="AC43" i="7"/>
  <c r="AC49" i="10"/>
  <c r="A59" i="17"/>
  <c r="A16" i="17"/>
  <c r="A41" i="17"/>
  <c r="A50" i="17"/>
  <c r="A4" i="17"/>
  <c r="A92" i="17"/>
  <c r="A84" i="17"/>
  <c r="A8" i="17"/>
  <c r="A80" i="17"/>
  <c r="A25" i="17"/>
  <c r="A13" i="17"/>
  <c r="A93" i="17"/>
  <c r="A14" i="17"/>
  <c r="A63" i="17"/>
  <c r="A49" i="17"/>
  <c r="A7" i="17"/>
  <c r="A21" i="17"/>
  <c r="A6" i="17"/>
  <c r="A10" i="17"/>
  <c r="A65" i="17"/>
  <c r="A36" i="17"/>
  <c r="A94" i="17"/>
  <c r="A53" i="17"/>
  <c r="A66" i="17"/>
  <c r="A28" i="17"/>
  <c r="A78" i="17"/>
  <c r="A97" i="17"/>
  <c r="A56" i="17"/>
  <c r="H10" i="8"/>
  <c r="B10" i="8"/>
  <c r="L10" i="8"/>
  <c r="K10" i="8"/>
  <c r="J10" i="8"/>
  <c r="I10" i="8"/>
  <c r="G10" i="8"/>
  <c r="D10" i="8"/>
  <c r="C10" i="8"/>
  <c r="AC30" i="16"/>
  <c r="AC15" i="7"/>
  <c r="AC16" i="10"/>
  <c r="A35" i="8"/>
  <c r="A11" i="8"/>
  <c r="AC29" i="18"/>
  <c r="A11" i="9"/>
  <c r="A5" i="9"/>
  <c r="A20" i="9"/>
  <c r="AC9" i="8"/>
  <c r="AC34" i="18"/>
  <c r="A13" i="18"/>
  <c r="A100" i="18"/>
  <c r="A78" i="18"/>
  <c r="A56" i="18"/>
  <c r="A18" i="18"/>
  <c r="A88" i="18"/>
  <c r="A52" i="18"/>
  <c r="A49" i="18"/>
  <c r="A38" i="18"/>
  <c r="A35" i="18"/>
  <c r="A90" i="18"/>
  <c r="A80" i="18"/>
  <c r="A66" i="18"/>
  <c r="A36" i="18"/>
  <c r="A20" i="18"/>
  <c r="A62" i="18"/>
  <c r="A23" i="18"/>
  <c r="A12" i="18"/>
  <c r="A15" i="18"/>
  <c r="A103" i="18"/>
  <c r="A89" i="18"/>
  <c r="A48" i="18"/>
  <c r="A85" i="18"/>
  <c r="A81" i="18"/>
  <c r="A77" i="18"/>
  <c r="A64" i="18"/>
  <c r="A6" i="18"/>
  <c r="A98" i="18"/>
  <c r="A67" i="18"/>
  <c r="A41" i="18"/>
  <c r="A99" i="18"/>
  <c r="A25" i="18"/>
  <c r="A92" i="18"/>
  <c r="A86" i="18"/>
  <c r="A72" i="18"/>
  <c r="A59" i="18"/>
  <c r="A24" i="18"/>
  <c r="A54" i="18"/>
  <c r="A53" i="18"/>
  <c r="A91" i="18"/>
  <c r="A44" i="18"/>
  <c r="AC37" i="16"/>
  <c r="AC8" i="9"/>
  <c r="AC8" i="8"/>
  <c r="AC8" i="7"/>
  <c r="AC47" i="10"/>
  <c r="AC4" i="7"/>
  <c r="AC7" i="7"/>
  <c r="AC19" i="7"/>
  <c r="AC35" i="10"/>
  <c r="AC54" i="7"/>
  <c r="AC35" i="16"/>
  <c r="AC31" i="10"/>
  <c r="AC27" i="7"/>
  <c r="AC26" i="8"/>
  <c r="AC18" i="7"/>
  <c r="AC23" i="8"/>
  <c r="AC7" i="8"/>
  <c r="AC16" i="7"/>
  <c r="AC13" i="7"/>
  <c r="AC20" i="7"/>
  <c r="AC5" i="7"/>
  <c r="AC45" i="7"/>
  <c r="AC22" i="8"/>
  <c r="AC10" i="7"/>
  <c r="AC57" i="10"/>
  <c r="AC34" i="7"/>
  <c r="AC2" i="7"/>
  <c r="AC28" i="8"/>
  <c r="AC3" i="9"/>
  <c r="AC7" i="9"/>
  <c r="AC5" i="8"/>
  <c r="AC17" i="7"/>
  <c r="AC26" i="16"/>
  <c r="A11" i="16" s="1"/>
  <c r="AC19" i="8"/>
  <c r="AC10" i="8"/>
  <c r="AC52" i="7"/>
  <c r="AC11" i="8"/>
  <c r="AC28" i="16"/>
  <c r="A72" i="16" s="1"/>
  <c r="AC12" i="7"/>
  <c r="A18" i="7"/>
  <c r="A17" i="7"/>
  <c r="A33" i="7"/>
  <c r="A14" i="7"/>
  <c r="A19" i="7"/>
  <c r="A7" i="7"/>
  <c r="A4" i="7"/>
  <c r="A31" i="7"/>
  <c r="A10" i="7"/>
  <c r="AC29" i="8"/>
  <c r="A33" i="16"/>
  <c r="A4" i="16"/>
  <c r="A5" i="16"/>
  <c r="AC30" i="8"/>
  <c r="AC41" i="10"/>
  <c r="AC38" i="16"/>
  <c r="AC15" i="8"/>
  <c r="AC35" i="7"/>
  <c r="AC20" i="8"/>
  <c r="AC13" i="8"/>
  <c r="AC47" i="7"/>
  <c r="AC40" i="10"/>
  <c r="A41" i="8"/>
  <c r="AC29" i="16"/>
  <c r="AC31" i="7"/>
  <c r="AC50" i="7"/>
  <c r="L4" i="8"/>
  <c r="K4" i="8"/>
  <c r="J4" i="8"/>
  <c r="G4" i="8"/>
  <c r="I4" i="8"/>
  <c r="H4" i="8"/>
  <c r="B4" i="8"/>
  <c r="D4" i="8"/>
  <c r="C4" i="8"/>
  <c r="AC24" i="8"/>
  <c r="A63" i="8" s="1"/>
  <c r="A89" i="16"/>
  <c r="AC25" i="7"/>
  <c r="AC22" i="7"/>
  <c r="D21" i="16"/>
  <c r="C21" i="16"/>
  <c r="E21" i="16"/>
  <c r="F21" i="16"/>
  <c r="G21" i="16"/>
  <c r="AC29" i="7"/>
  <c r="AC6" i="8"/>
  <c r="C8" i="8"/>
  <c r="L8" i="8"/>
  <c r="G8" i="8"/>
  <c r="D8" i="8"/>
  <c r="B8" i="8"/>
  <c r="J8" i="8"/>
  <c r="K8" i="8"/>
  <c r="I8" i="8"/>
  <c r="H8" i="8"/>
  <c r="AC27" i="16"/>
  <c r="AC15" i="10"/>
  <c r="AC37" i="7"/>
  <c r="AC26" i="18"/>
  <c r="A22" i="18" s="1"/>
  <c r="AC12" i="8"/>
  <c r="AC52" i="10"/>
  <c r="A15" i="10" s="1"/>
  <c r="AC49" i="7"/>
  <c r="AC43" i="16"/>
  <c r="AC11" i="7"/>
  <c r="AC24" i="7"/>
  <c r="AC32" i="7"/>
  <c r="AC40" i="7"/>
  <c r="AC17" i="8"/>
  <c r="AC2" i="9"/>
  <c r="AC57" i="7"/>
  <c r="A158" i="10"/>
  <c r="A165" i="10"/>
  <c r="A10" i="10"/>
  <c r="A80" i="10"/>
  <c r="A5" i="10"/>
  <c r="A135" i="10"/>
  <c r="A4" i="10"/>
  <c r="A185" i="10"/>
  <c r="A44" i="10"/>
  <c r="A13" i="10"/>
  <c r="A144" i="10"/>
  <c r="A8" i="10"/>
  <c r="A68" i="16"/>
  <c r="AC43" i="10"/>
  <c r="AC54" i="10"/>
  <c r="AC33" i="16"/>
  <c r="AC5" i="9"/>
  <c r="AC27" i="8"/>
  <c r="AC6" i="9"/>
  <c r="AC16" i="8"/>
  <c r="A37" i="8"/>
  <c r="A66" i="16" l="1"/>
  <c r="A97" i="16"/>
  <c r="A72" i="17"/>
  <c r="A23" i="17"/>
  <c r="G23" i="17" s="1"/>
  <c r="A89" i="17"/>
  <c r="A103" i="17"/>
  <c r="A86" i="17"/>
  <c r="A47" i="17"/>
  <c r="G47" i="17" s="1"/>
  <c r="A101" i="17"/>
  <c r="A48" i="17"/>
  <c r="A55" i="17"/>
  <c r="A67" i="17"/>
  <c r="C67" i="17" s="1"/>
  <c r="A26" i="17"/>
  <c r="A73" i="17"/>
  <c r="A22" i="17"/>
  <c r="A29" i="17"/>
  <c r="F29" i="17" s="1"/>
  <c r="A51" i="17"/>
  <c r="A38" i="17"/>
  <c r="A96" i="17"/>
  <c r="A43" i="17"/>
  <c r="E43" i="17" s="1"/>
  <c r="A19" i="17"/>
  <c r="A100" i="17"/>
  <c r="A57" i="17"/>
  <c r="A69" i="17"/>
  <c r="E69" i="17" s="1"/>
  <c r="A37" i="17"/>
  <c r="A79" i="17"/>
  <c r="A90" i="16"/>
  <c r="D90" i="16" s="1"/>
  <c r="A91" i="17"/>
  <c r="E91" i="17" s="1"/>
  <c r="A98" i="17"/>
  <c r="A9" i="17"/>
  <c r="A20" i="17"/>
  <c r="A15" i="17"/>
  <c r="E15" i="17" s="1"/>
  <c r="A85" i="17"/>
  <c r="A12" i="17"/>
  <c r="A82" i="17"/>
  <c r="A24" i="17"/>
  <c r="G24" i="17" s="1"/>
  <c r="A45" i="17"/>
  <c r="A18" i="17"/>
  <c r="A77" i="17"/>
  <c r="A39" i="17"/>
  <c r="C39" i="17" s="1"/>
  <c r="A70" i="17"/>
  <c r="A46" i="17"/>
  <c r="A83" i="17"/>
  <c r="A54" i="17"/>
  <c r="G54" i="17" s="1"/>
  <c r="A33" i="17"/>
  <c r="A52" i="17"/>
  <c r="A32" i="17"/>
  <c r="A87" i="17"/>
  <c r="C87" i="17" s="1"/>
  <c r="A74" i="17"/>
  <c r="A61" i="17"/>
  <c r="A102" i="17"/>
  <c r="A94" i="16"/>
  <c r="D94" i="16" s="1"/>
  <c r="A27" i="17"/>
  <c r="A35" i="17"/>
  <c r="A58" i="17"/>
  <c r="A5" i="17"/>
  <c r="F5" i="17" s="1"/>
  <c r="A40" i="17"/>
  <c r="A31" i="17"/>
  <c r="A88" i="17"/>
  <c r="A75" i="17"/>
  <c r="F75" i="17" s="1"/>
  <c r="A44" i="17"/>
  <c r="A34" i="17"/>
  <c r="A62" i="17"/>
  <c r="A11" i="17"/>
  <c r="E11" i="17" s="1"/>
  <c r="A42" i="17"/>
  <c r="A90" i="17"/>
  <c r="A68" i="17"/>
  <c r="A99" i="17"/>
  <c r="C99" i="17" s="1"/>
  <c r="A71" i="17"/>
  <c r="A60" i="17"/>
  <c r="A76" i="17"/>
  <c r="A64" i="17"/>
  <c r="E64" i="17" s="1"/>
  <c r="A30" i="17"/>
  <c r="A17" i="17"/>
  <c r="A81" i="17"/>
  <c r="H21" i="16"/>
  <c r="I21" i="16" s="1"/>
  <c r="A107" i="8"/>
  <c r="A166" i="8"/>
  <c r="A117" i="8"/>
  <c r="A116" i="8"/>
  <c r="B116" i="8" s="1"/>
  <c r="A164" i="8"/>
  <c r="A95" i="8"/>
  <c r="A126" i="8"/>
  <c r="K126" i="8" s="1"/>
  <c r="M10" i="8"/>
  <c r="M8" i="8"/>
  <c r="A175" i="8"/>
  <c r="A70" i="8"/>
  <c r="B70" i="8" s="1"/>
  <c r="M4" i="8"/>
  <c r="A140" i="8"/>
  <c r="A15" i="8"/>
  <c r="A157" i="10"/>
  <c r="J157" i="10" s="1"/>
  <c r="A194" i="10"/>
  <c r="M194" i="10" s="1"/>
  <c r="A20" i="10"/>
  <c r="A156" i="10"/>
  <c r="A176" i="10"/>
  <c r="B176" i="10" s="1"/>
  <c r="A169" i="10"/>
  <c r="C169" i="10" s="1"/>
  <c r="A147" i="10"/>
  <c r="A42" i="7"/>
  <c r="L42" i="7" s="1"/>
  <c r="A150" i="7"/>
  <c r="I150" i="7" s="1"/>
  <c r="A89" i="10"/>
  <c r="K89" i="10" s="1"/>
  <c r="A69" i="10"/>
  <c r="A170" i="10"/>
  <c r="A67" i="10"/>
  <c r="F67" i="10" s="1"/>
  <c r="A83" i="10"/>
  <c r="L83" i="10" s="1"/>
  <c r="A111" i="10"/>
  <c r="A43" i="10"/>
  <c r="A181" i="10"/>
  <c r="C181" i="10" s="1"/>
  <c r="A37" i="10"/>
  <c r="K37" i="10" s="1"/>
  <c r="A187" i="10"/>
  <c r="A180" i="10"/>
  <c r="A56" i="7"/>
  <c r="C56" i="7" s="1"/>
  <c r="A49" i="10"/>
  <c r="D49" i="10" s="1"/>
  <c r="A105" i="10"/>
  <c r="A123" i="10"/>
  <c r="A86" i="10"/>
  <c r="N86" i="10" s="1"/>
  <c r="O86" i="10" s="1"/>
  <c r="A128" i="10"/>
  <c r="L128" i="10" s="1"/>
  <c r="A71" i="10"/>
  <c r="A178" i="10"/>
  <c r="A154" i="10"/>
  <c r="G154" i="10" s="1"/>
  <c r="A198" i="10"/>
  <c r="E198" i="10" s="1"/>
  <c r="A131" i="9"/>
  <c r="M131" i="9" s="1"/>
  <c r="N131" i="9" s="1"/>
  <c r="A197" i="9"/>
  <c r="F197" i="9" s="1"/>
  <c r="B197" i="9"/>
  <c r="K197" i="9"/>
  <c r="M197" i="9"/>
  <c r="N197" i="9" s="1"/>
  <c r="H197" i="9"/>
  <c r="L126" i="8"/>
  <c r="H126" i="8"/>
  <c r="B126" i="8"/>
  <c r="D126" i="8"/>
  <c r="C150" i="7"/>
  <c r="B150" i="7"/>
  <c r="M42" i="7"/>
  <c r="K42" i="7"/>
  <c r="H42" i="7"/>
  <c r="G42" i="7"/>
  <c r="D42" i="7"/>
  <c r="F42" i="7"/>
  <c r="H22" i="18"/>
  <c r="I22" i="18" s="1"/>
  <c r="F22" i="18"/>
  <c r="E22" i="18"/>
  <c r="D22" i="18"/>
  <c r="G22" i="18"/>
  <c r="C22" i="18"/>
  <c r="H72" i="16"/>
  <c r="I72" i="16" s="1"/>
  <c r="G72" i="16"/>
  <c r="C72" i="16"/>
  <c r="F72" i="16"/>
  <c r="D72" i="16"/>
  <c r="E72" i="16"/>
  <c r="I131" i="9"/>
  <c r="E131" i="9"/>
  <c r="H131" i="9"/>
  <c r="M15" i="10"/>
  <c r="L15" i="10"/>
  <c r="K15" i="10"/>
  <c r="I15" i="10"/>
  <c r="G15" i="10"/>
  <c r="F15" i="10"/>
  <c r="E15" i="10"/>
  <c r="D15" i="10"/>
  <c r="B15" i="10"/>
  <c r="J15" i="10"/>
  <c r="H15" i="10"/>
  <c r="C15" i="10"/>
  <c r="D56" i="7"/>
  <c r="J56" i="7"/>
  <c r="C147" i="10"/>
  <c r="B147" i="10"/>
  <c r="K147" i="10"/>
  <c r="J147" i="10"/>
  <c r="I147" i="10"/>
  <c r="H147" i="10"/>
  <c r="F147" i="10"/>
  <c r="D147" i="10"/>
  <c r="M147" i="10"/>
  <c r="L147" i="10"/>
  <c r="G147" i="10"/>
  <c r="E147" i="10"/>
  <c r="N147" i="10"/>
  <c r="O147" i="10" s="1"/>
  <c r="D63" i="8"/>
  <c r="C63" i="8"/>
  <c r="L63" i="8"/>
  <c r="M63" i="8"/>
  <c r="N63" i="8" s="1"/>
  <c r="K63" i="8"/>
  <c r="B63" i="8"/>
  <c r="J63" i="8"/>
  <c r="I63" i="8"/>
  <c r="H63" i="8"/>
  <c r="G63" i="8"/>
  <c r="E11" i="16"/>
  <c r="D11" i="16"/>
  <c r="F11" i="16"/>
  <c r="C11" i="16"/>
  <c r="G11" i="16"/>
  <c r="N156" i="10"/>
  <c r="O156" i="10" s="1"/>
  <c r="M156" i="10"/>
  <c r="J156" i="10"/>
  <c r="I156" i="10"/>
  <c r="F156" i="10"/>
  <c r="E156" i="10"/>
  <c r="H156" i="10"/>
  <c r="G156" i="10"/>
  <c r="D156" i="10"/>
  <c r="C156" i="10"/>
  <c r="L156" i="10"/>
  <c r="K156" i="10"/>
  <c r="B156" i="10"/>
  <c r="A186" i="7"/>
  <c r="H24" i="18"/>
  <c r="I24" i="18" s="1"/>
  <c r="G24" i="18"/>
  <c r="F24" i="18"/>
  <c r="E24" i="18"/>
  <c r="C24" i="18"/>
  <c r="D24" i="18"/>
  <c r="G98" i="18"/>
  <c r="C98" i="18"/>
  <c r="H98" i="18"/>
  <c r="I98" i="18" s="1"/>
  <c r="D98" i="18"/>
  <c r="E98" i="18"/>
  <c r="F98" i="18"/>
  <c r="G12" i="18"/>
  <c r="F12" i="18"/>
  <c r="E12" i="18"/>
  <c r="D12" i="18"/>
  <c r="C12" i="18"/>
  <c r="H38" i="18"/>
  <c r="I38" i="18" s="1"/>
  <c r="G38" i="18"/>
  <c r="E38" i="18"/>
  <c r="D38" i="18"/>
  <c r="C38" i="18"/>
  <c r="F38" i="18"/>
  <c r="A135" i="8"/>
  <c r="A74" i="9"/>
  <c r="A81" i="9"/>
  <c r="A156" i="9"/>
  <c r="A78" i="9"/>
  <c r="A106" i="9"/>
  <c r="A162" i="9"/>
  <c r="A82" i="9"/>
  <c r="A114" i="9"/>
  <c r="A153" i="9"/>
  <c r="A153" i="8"/>
  <c r="H56" i="17"/>
  <c r="I56" i="17" s="1"/>
  <c r="E56" i="17"/>
  <c r="G56" i="17"/>
  <c r="D56" i="17"/>
  <c r="C56" i="17"/>
  <c r="F56" i="17"/>
  <c r="H85" i="17"/>
  <c r="I85" i="17" s="1"/>
  <c r="F85" i="17"/>
  <c r="E85" i="17"/>
  <c r="D85" i="17"/>
  <c r="G85" i="17"/>
  <c r="C85" i="17"/>
  <c r="G7" i="17"/>
  <c r="F7" i="17"/>
  <c r="E7" i="17"/>
  <c r="D7" i="17"/>
  <c r="C7" i="17"/>
  <c r="F54" i="17"/>
  <c r="D41" i="17"/>
  <c r="H41" i="17"/>
  <c r="I41" i="17" s="1"/>
  <c r="E41" i="17"/>
  <c r="C41" i="17"/>
  <c r="F41" i="17"/>
  <c r="G41" i="17"/>
  <c r="M149" i="8"/>
  <c r="N149" i="8" s="1"/>
  <c r="K149" i="8"/>
  <c r="J149" i="8"/>
  <c r="I149" i="8"/>
  <c r="H149" i="8"/>
  <c r="B149" i="8"/>
  <c r="D149" i="8"/>
  <c r="C149" i="8"/>
  <c r="L149" i="8"/>
  <c r="G149" i="8"/>
  <c r="A58" i="16"/>
  <c r="A81" i="16"/>
  <c r="G59" i="18"/>
  <c r="F59" i="18"/>
  <c r="H59" i="18"/>
  <c r="I59" i="18" s="1"/>
  <c r="E59" i="18"/>
  <c r="D59" i="18"/>
  <c r="C59" i="18"/>
  <c r="G6" i="18"/>
  <c r="F6" i="18"/>
  <c r="E6" i="18"/>
  <c r="D6" i="18"/>
  <c r="C6" i="18"/>
  <c r="G23" i="18"/>
  <c r="F23" i="18"/>
  <c r="C23" i="18"/>
  <c r="D23" i="18"/>
  <c r="H23" i="18"/>
  <c r="I23" i="18" s="1"/>
  <c r="E23" i="18"/>
  <c r="G49" i="18"/>
  <c r="F49" i="18"/>
  <c r="C49" i="18"/>
  <c r="E49" i="18"/>
  <c r="H49" i="18"/>
  <c r="I49" i="18" s="1"/>
  <c r="D49" i="18"/>
  <c r="A7" i="16"/>
  <c r="A90" i="9"/>
  <c r="A45" i="9"/>
  <c r="L20" i="9"/>
  <c r="K20" i="9"/>
  <c r="J20" i="9"/>
  <c r="I20" i="9"/>
  <c r="G20" i="9"/>
  <c r="E20" i="9"/>
  <c r="B20" i="9"/>
  <c r="H20" i="9"/>
  <c r="F20" i="9"/>
  <c r="A193" i="9"/>
  <c r="A133" i="9"/>
  <c r="A166" i="9"/>
  <c r="A85" i="9"/>
  <c r="A117" i="9"/>
  <c r="A175" i="9"/>
  <c r="A26" i="8"/>
  <c r="H72" i="17"/>
  <c r="I72" i="17" s="1"/>
  <c r="E72" i="17"/>
  <c r="C72" i="17"/>
  <c r="G72" i="17"/>
  <c r="F72" i="17"/>
  <c r="D72" i="17"/>
  <c r="H88" i="17"/>
  <c r="I88" i="17" s="1"/>
  <c r="E88" i="17"/>
  <c r="D88" i="17"/>
  <c r="C88" i="17"/>
  <c r="G88" i="17"/>
  <c r="F88" i="17"/>
  <c r="H73" i="17"/>
  <c r="I73" i="17" s="1"/>
  <c r="G73" i="17"/>
  <c r="F73" i="17"/>
  <c r="E73" i="17"/>
  <c r="D73" i="17"/>
  <c r="C73" i="17"/>
  <c r="F71" i="17"/>
  <c r="E71" i="17"/>
  <c r="D71" i="17"/>
  <c r="C71" i="17"/>
  <c r="G71" i="17"/>
  <c r="H71" i="17"/>
  <c r="I71" i="17" s="1"/>
  <c r="A51" i="16"/>
  <c r="L35" i="8"/>
  <c r="K35" i="8"/>
  <c r="J35" i="8"/>
  <c r="C35" i="8"/>
  <c r="B35" i="8"/>
  <c r="I35" i="8"/>
  <c r="G35" i="8"/>
  <c r="H35" i="8"/>
  <c r="D35" i="8"/>
  <c r="H94" i="17"/>
  <c r="I94" i="17" s="1"/>
  <c r="E94" i="17"/>
  <c r="D94" i="17"/>
  <c r="G94" i="17"/>
  <c r="F94" i="17"/>
  <c r="C94" i="17"/>
  <c r="F77" i="17"/>
  <c r="E77" i="17"/>
  <c r="D77" i="17"/>
  <c r="C77" i="17"/>
  <c r="G77" i="17"/>
  <c r="H77" i="17"/>
  <c r="I77" i="17" s="1"/>
  <c r="H80" i="17"/>
  <c r="I80" i="17" s="1"/>
  <c r="E80" i="17"/>
  <c r="D80" i="17"/>
  <c r="C80" i="17"/>
  <c r="G80" i="17"/>
  <c r="F80" i="17"/>
  <c r="H74" i="17"/>
  <c r="E74" i="17"/>
  <c r="F74" i="17"/>
  <c r="C74" i="17"/>
  <c r="I74" i="17"/>
  <c r="G74" i="17"/>
  <c r="D74" i="17"/>
  <c r="G187" i="10"/>
  <c r="F187" i="10"/>
  <c r="E187" i="10"/>
  <c r="B187" i="10"/>
  <c r="L187" i="10"/>
  <c r="K187" i="10"/>
  <c r="I187" i="10"/>
  <c r="D187" i="10"/>
  <c r="H187" i="10"/>
  <c r="C187" i="10"/>
  <c r="N187" i="10"/>
  <c r="O187" i="10" s="1"/>
  <c r="M187" i="10"/>
  <c r="J187" i="10"/>
  <c r="G41" i="8"/>
  <c r="C41" i="8"/>
  <c r="B41" i="8"/>
  <c r="D41" i="8"/>
  <c r="K41" i="8"/>
  <c r="J41" i="8"/>
  <c r="I41" i="8"/>
  <c r="H41" i="8"/>
  <c r="L41" i="8"/>
  <c r="A100" i="16"/>
  <c r="A63" i="16"/>
  <c r="A148" i="7"/>
  <c r="A171" i="7"/>
  <c r="A197" i="7"/>
  <c r="A55" i="7"/>
  <c r="A135" i="7"/>
  <c r="A68" i="7"/>
  <c r="A102" i="7"/>
  <c r="A21" i="7"/>
  <c r="A100" i="7"/>
  <c r="A168" i="8"/>
  <c r="A87" i="8"/>
  <c r="A24" i="16"/>
  <c r="A88" i="16"/>
  <c r="H86" i="18"/>
  <c r="I86" i="18" s="1"/>
  <c r="G86" i="18"/>
  <c r="F86" i="18"/>
  <c r="E86" i="18"/>
  <c r="C86" i="18"/>
  <c r="D86" i="18"/>
  <c r="G77" i="18"/>
  <c r="F77" i="18"/>
  <c r="H77" i="18"/>
  <c r="I77" i="18" s="1"/>
  <c r="D77" i="18"/>
  <c r="E77" i="18"/>
  <c r="C77" i="18"/>
  <c r="H20" i="18"/>
  <c r="I20" i="18" s="1"/>
  <c r="F20" i="18"/>
  <c r="E20" i="18"/>
  <c r="D20" i="18"/>
  <c r="C20" i="18"/>
  <c r="G20" i="18"/>
  <c r="C88" i="18"/>
  <c r="H88" i="18"/>
  <c r="I88" i="18" s="1"/>
  <c r="G88" i="18"/>
  <c r="F88" i="18"/>
  <c r="D88" i="18"/>
  <c r="E88" i="18"/>
  <c r="A106" i="8"/>
  <c r="A57" i="9"/>
  <c r="A150" i="9"/>
  <c r="A172" i="9"/>
  <c r="A63" i="9"/>
  <c r="A24" i="9"/>
  <c r="F5" i="9"/>
  <c r="E5" i="9"/>
  <c r="L5" i="9"/>
  <c r="J5" i="9"/>
  <c r="I5" i="9"/>
  <c r="H5" i="9"/>
  <c r="K5" i="9"/>
  <c r="G5" i="9"/>
  <c r="B5" i="9"/>
  <c r="A132" i="9"/>
  <c r="A182" i="9"/>
  <c r="A157" i="9"/>
  <c r="A123" i="8"/>
  <c r="H35" i="17"/>
  <c r="I35" i="17" s="1"/>
  <c r="G35" i="17"/>
  <c r="F35" i="17"/>
  <c r="E35" i="17"/>
  <c r="C35" i="17"/>
  <c r="D35" i="17"/>
  <c r="H101" i="17"/>
  <c r="I101" i="17" s="1"/>
  <c r="E101" i="17"/>
  <c r="D101" i="17"/>
  <c r="C101" i="17"/>
  <c r="G101" i="17"/>
  <c r="F101" i="17"/>
  <c r="F11" i="17"/>
  <c r="H96" i="17"/>
  <c r="I96" i="17" s="1"/>
  <c r="E96" i="17"/>
  <c r="D96" i="17"/>
  <c r="C96" i="17"/>
  <c r="F96" i="17"/>
  <c r="G96" i="17"/>
  <c r="E81" i="17"/>
  <c r="C81" i="17"/>
  <c r="H81" i="17"/>
  <c r="I81" i="17" s="1"/>
  <c r="G81" i="17"/>
  <c r="F81" i="17"/>
  <c r="D81" i="17"/>
  <c r="A48" i="16"/>
  <c r="A171" i="8"/>
  <c r="A9" i="16"/>
  <c r="E18" i="18"/>
  <c r="C18" i="18"/>
  <c r="H18" i="18"/>
  <c r="I18" i="18" s="1"/>
  <c r="G18" i="18"/>
  <c r="D18" i="18"/>
  <c r="F18" i="18"/>
  <c r="A127" i="8"/>
  <c r="A141" i="9"/>
  <c r="A94" i="9"/>
  <c r="A23" i="9"/>
  <c r="A72" i="9"/>
  <c r="A52" i="9"/>
  <c r="A27" i="9"/>
  <c r="I11" i="9"/>
  <c r="G11" i="9"/>
  <c r="F11" i="9"/>
  <c r="L11" i="9"/>
  <c r="K11" i="9"/>
  <c r="E11" i="9"/>
  <c r="B11" i="9"/>
  <c r="J11" i="9"/>
  <c r="A199" i="9"/>
  <c r="A179" i="9"/>
  <c r="G97" i="17"/>
  <c r="E97" i="17"/>
  <c r="D97" i="17"/>
  <c r="H97" i="17"/>
  <c r="I97" i="17" s="1"/>
  <c r="F97" i="17"/>
  <c r="C97" i="17"/>
  <c r="F12" i="17"/>
  <c r="C12" i="17"/>
  <c r="E12" i="17"/>
  <c r="G12" i="17"/>
  <c r="D12" i="17"/>
  <c r="D49" i="17"/>
  <c r="C49" i="17"/>
  <c r="H49" i="17"/>
  <c r="I49" i="17" s="1"/>
  <c r="G49" i="17"/>
  <c r="E49" i="17"/>
  <c r="F49" i="17"/>
  <c r="H33" i="17"/>
  <c r="I33" i="17" s="1"/>
  <c r="G33" i="17"/>
  <c r="D33" i="17"/>
  <c r="C33" i="17"/>
  <c r="F33" i="17"/>
  <c r="E33" i="17"/>
  <c r="H16" i="17"/>
  <c r="G16" i="17"/>
  <c r="F16" i="17"/>
  <c r="E16" i="17"/>
  <c r="I16" i="17"/>
  <c r="D16" i="17"/>
  <c r="C16" i="17"/>
  <c r="A53" i="16"/>
  <c r="K95" i="8"/>
  <c r="J95" i="8"/>
  <c r="I95" i="8"/>
  <c r="H95" i="8"/>
  <c r="M95" i="8"/>
  <c r="N95" i="8" s="1"/>
  <c r="G95" i="8"/>
  <c r="L95" i="8"/>
  <c r="D95" i="8"/>
  <c r="C95" i="8"/>
  <c r="B95" i="8"/>
  <c r="A74" i="16"/>
  <c r="A55" i="16"/>
  <c r="A90" i="7"/>
  <c r="A126" i="7"/>
  <c r="A48" i="7"/>
  <c r="A105" i="7"/>
  <c r="A8" i="7"/>
  <c r="A116" i="7"/>
  <c r="A149" i="7"/>
  <c r="A73" i="7"/>
  <c r="A122" i="7"/>
  <c r="A27" i="8"/>
  <c r="A136" i="8"/>
  <c r="A198" i="8"/>
  <c r="A103" i="16"/>
  <c r="C44" i="18"/>
  <c r="G44" i="18"/>
  <c r="H44" i="18"/>
  <c r="I44" i="18" s="1"/>
  <c r="F44" i="18"/>
  <c r="E44" i="18"/>
  <c r="D44" i="18"/>
  <c r="G25" i="18"/>
  <c r="F25" i="18"/>
  <c r="C25" i="18"/>
  <c r="H25" i="18"/>
  <c r="I25" i="18" s="1"/>
  <c r="E25" i="18"/>
  <c r="D25" i="18"/>
  <c r="G85" i="18"/>
  <c r="F85" i="18"/>
  <c r="H85" i="18"/>
  <c r="I85" i="18" s="1"/>
  <c r="D85" i="18"/>
  <c r="C85" i="18"/>
  <c r="E85" i="18"/>
  <c r="C66" i="18"/>
  <c r="F66" i="18"/>
  <c r="E66" i="18"/>
  <c r="D66" i="18"/>
  <c r="H66" i="18"/>
  <c r="I66" i="18" s="1"/>
  <c r="G66" i="18"/>
  <c r="E56" i="18"/>
  <c r="C56" i="18"/>
  <c r="H56" i="18"/>
  <c r="I56" i="18" s="1"/>
  <c r="D56" i="18"/>
  <c r="G56" i="18"/>
  <c r="F56" i="18"/>
  <c r="A146" i="8"/>
  <c r="A181" i="9"/>
  <c r="A49" i="9"/>
  <c r="A53" i="9"/>
  <c r="A89" i="9"/>
  <c r="A75" i="9"/>
  <c r="A31" i="9"/>
  <c r="A26" i="9"/>
  <c r="A163" i="9"/>
  <c r="A201" i="9"/>
  <c r="H22" i="17"/>
  <c r="I22" i="17" s="1"/>
  <c r="E22" i="17"/>
  <c r="G22" i="17"/>
  <c r="F22" i="17"/>
  <c r="D22" i="17"/>
  <c r="C22" i="17"/>
  <c r="H60" i="17"/>
  <c r="I60" i="17" s="1"/>
  <c r="E60" i="17"/>
  <c r="F60" i="17"/>
  <c r="D60" i="17"/>
  <c r="G60" i="17"/>
  <c r="C60" i="17"/>
  <c r="G37" i="17"/>
  <c r="F37" i="17"/>
  <c r="E37" i="17"/>
  <c r="D37" i="17"/>
  <c r="H37" i="17"/>
  <c r="I37" i="17" s="1"/>
  <c r="C37" i="17"/>
  <c r="A38" i="16"/>
  <c r="G15" i="8"/>
  <c r="K15" i="8"/>
  <c r="J15" i="8"/>
  <c r="H15" i="8"/>
  <c r="L15" i="8"/>
  <c r="I15" i="8"/>
  <c r="D15" i="8"/>
  <c r="C15" i="8"/>
  <c r="B15" i="8"/>
  <c r="A96" i="16"/>
  <c r="A120" i="8"/>
  <c r="M10" i="7"/>
  <c r="L10" i="7"/>
  <c r="K10" i="7"/>
  <c r="J10" i="7"/>
  <c r="G10" i="7"/>
  <c r="D10" i="7"/>
  <c r="F10" i="7"/>
  <c r="E10" i="7"/>
  <c r="H10" i="7"/>
  <c r="C10" i="7"/>
  <c r="B10" i="7"/>
  <c r="M4" i="7"/>
  <c r="L4" i="7"/>
  <c r="K4" i="7"/>
  <c r="I4" i="7"/>
  <c r="J4" i="7"/>
  <c r="H4" i="7"/>
  <c r="G4" i="7"/>
  <c r="F4" i="7"/>
  <c r="E4" i="7"/>
  <c r="D4" i="7"/>
  <c r="B4" i="7"/>
  <c r="C4" i="7"/>
  <c r="A124" i="7"/>
  <c r="A160" i="7"/>
  <c r="A62" i="7"/>
  <c r="A169" i="7"/>
  <c r="A202" i="7"/>
  <c r="A84" i="7"/>
  <c r="A133" i="7"/>
  <c r="A185" i="8"/>
  <c r="A31" i="8"/>
  <c r="G91" i="18"/>
  <c r="F91" i="18"/>
  <c r="E91" i="18"/>
  <c r="D91" i="18"/>
  <c r="H91" i="18"/>
  <c r="I91" i="18" s="1"/>
  <c r="C91" i="18"/>
  <c r="G99" i="18"/>
  <c r="F99" i="18"/>
  <c r="H99" i="18"/>
  <c r="D99" i="18"/>
  <c r="C99" i="18"/>
  <c r="E99" i="18"/>
  <c r="I99" i="18"/>
  <c r="H48" i="18"/>
  <c r="I48" i="18" s="1"/>
  <c r="G48" i="18"/>
  <c r="F48" i="18"/>
  <c r="E48" i="18"/>
  <c r="D48" i="18"/>
  <c r="C48" i="18"/>
  <c r="G80" i="18"/>
  <c r="F80" i="18"/>
  <c r="E80" i="18"/>
  <c r="D80" i="18"/>
  <c r="H80" i="18"/>
  <c r="I80" i="18" s="1"/>
  <c r="C80" i="18"/>
  <c r="E78" i="18"/>
  <c r="C78" i="18"/>
  <c r="H78" i="18"/>
  <c r="I78" i="18" s="1"/>
  <c r="D78" i="18"/>
  <c r="G78" i="18"/>
  <c r="F78" i="18"/>
  <c r="A76" i="16"/>
  <c r="A149" i="9"/>
  <c r="A55" i="9"/>
  <c r="A155" i="9"/>
  <c r="A123" i="9"/>
  <c r="A93" i="9"/>
  <c r="A35" i="9"/>
  <c r="A30" i="9"/>
  <c r="A176" i="9"/>
  <c r="A148" i="9"/>
  <c r="A160" i="8"/>
  <c r="H98" i="17"/>
  <c r="I98" i="17" s="1"/>
  <c r="E98" i="17"/>
  <c r="D98" i="17"/>
  <c r="F98" i="17"/>
  <c r="C98" i="17"/>
  <c r="G98" i="17"/>
  <c r="H36" i="17"/>
  <c r="I36" i="17" s="1"/>
  <c r="G36" i="17"/>
  <c r="F36" i="17"/>
  <c r="E36" i="17"/>
  <c r="D36" i="17"/>
  <c r="C36" i="17"/>
  <c r="E8" i="17"/>
  <c r="D8" i="17"/>
  <c r="C8" i="17"/>
  <c r="G8" i="17"/>
  <c r="F8" i="17"/>
  <c r="D61" i="17"/>
  <c r="H61" i="17"/>
  <c r="I61" i="17" s="1"/>
  <c r="C61" i="17"/>
  <c r="F61" i="17"/>
  <c r="E61" i="17"/>
  <c r="G61" i="17"/>
  <c r="A199" i="8"/>
  <c r="H73" i="16"/>
  <c r="I73" i="16" s="1"/>
  <c r="F73" i="16"/>
  <c r="E73" i="16"/>
  <c r="G73" i="16"/>
  <c r="D73" i="16"/>
  <c r="C73" i="16"/>
  <c r="A49" i="8"/>
  <c r="A173" i="10"/>
  <c r="A193" i="10"/>
  <c r="A24" i="10"/>
  <c r="A85" i="10"/>
  <c r="A40" i="10"/>
  <c r="A63" i="10"/>
  <c r="A167" i="10"/>
  <c r="A17" i="10"/>
  <c r="A131" i="10"/>
  <c r="A172" i="8"/>
  <c r="A186" i="8"/>
  <c r="A21" i="8"/>
  <c r="F5" i="16"/>
  <c r="E5" i="16"/>
  <c r="G5" i="16"/>
  <c r="D5" i="16"/>
  <c r="C5" i="16"/>
  <c r="A162" i="8"/>
  <c r="A158" i="7"/>
  <c r="A93" i="7"/>
  <c r="A201" i="7"/>
  <c r="A165" i="7"/>
  <c r="A125" i="7"/>
  <c r="M17" i="7"/>
  <c r="C17" i="7"/>
  <c r="B17" i="7"/>
  <c r="G17" i="7"/>
  <c r="F17" i="7"/>
  <c r="D17" i="7"/>
  <c r="L17" i="7"/>
  <c r="H17" i="7"/>
  <c r="E17" i="7"/>
  <c r="K17" i="7"/>
  <c r="J17" i="7"/>
  <c r="A35" i="7"/>
  <c r="A95" i="7"/>
  <c r="A144" i="7"/>
  <c r="A203" i="8"/>
  <c r="G53" i="18"/>
  <c r="F53" i="18"/>
  <c r="H53" i="18"/>
  <c r="I53" i="18" s="1"/>
  <c r="E53" i="18"/>
  <c r="D53" i="18"/>
  <c r="C53" i="18"/>
  <c r="G41" i="18"/>
  <c r="F41" i="18"/>
  <c r="H41" i="18"/>
  <c r="I41" i="18" s="1"/>
  <c r="D41" i="18"/>
  <c r="C41" i="18"/>
  <c r="E41" i="18"/>
  <c r="G89" i="18"/>
  <c r="F89" i="18"/>
  <c r="H89" i="18"/>
  <c r="I89" i="18" s="1"/>
  <c r="E89" i="18"/>
  <c r="D89" i="18"/>
  <c r="C89" i="18"/>
  <c r="G90" i="18"/>
  <c r="E90" i="18"/>
  <c r="D90" i="18"/>
  <c r="H90" i="18"/>
  <c r="I90" i="18" s="1"/>
  <c r="F90" i="18"/>
  <c r="C90" i="18"/>
  <c r="E100" i="18"/>
  <c r="C100" i="18"/>
  <c r="G100" i="18"/>
  <c r="F100" i="18"/>
  <c r="D100" i="18"/>
  <c r="H100" i="18"/>
  <c r="I100" i="18" s="1"/>
  <c r="A124" i="8"/>
  <c r="A128" i="9"/>
  <c r="A98" i="9"/>
  <c r="A8" i="9"/>
  <c r="A139" i="9"/>
  <c r="A159" i="9"/>
  <c r="A54" i="9"/>
  <c r="A34" i="9"/>
  <c r="A136" i="9"/>
  <c r="A170" i="9"/>
  <c r="A23" i="8"/>
  <c r="H58" i="17"/>
  <c r="I58" i="17" s="1"/>
  <c r="E58" i="17"/>
  <c r="G58" i="17"/>
  <c r="F58" i="17"/>
  <c r="D58" i="17"/>
  <c r="C58" i="17"/>
  <c r="H48" i="17"/>
  <c r="I48" i="17" s="1"/>
  <c r="E48" i="17"/>
  <c r="F48" i="17"/>
  <c r="D48" i="17"/>
  <c r="C48" i="17"/>
  <c r="G48" i="17"/>
  <c r="H42" i="17"/>
  <c r="I42" i="17" s="1"/>
  <c r="E42" i="17"/>
  <c r="C42" i="17"/>
  <c r="D42" i="17"/>
  <c r="G42" i="17"/>
  <c r="F42" i="17"/>
  <c r="H43" i="17"/>
  <c r="I43" i="17" s="1"/>
  <c r="D95" i="17"/>
  <c r="C95" i="17"/>
  <c r="H95" i="17"/>
  <c r="I95" i="17" s="1"/>
  <c r="G95" i="17"/>
  <c r="F95" i="17"/>
  <c r="E95" i="17"/>
  <c r="A183" i="8"/>
  <c r="H90" i="16"/>
  <c r="I90" i="16" s="1"/>
  <c r="E90" i="16"/>
  <c r="F90" i="16"/>
  <c r="A38" i="7"/>
  <c r="E71" i="10"/>
  <c r="D71" i="10"/>
  <c r="C71" i="10"/>
  <c r="B71" i="10"/>
  <c r="L71" i="10"/>
  <c r="K71" i="10"/>
  <c r="J71" i="10"/>
  <c r="I71" i="10"/>
  <c r="G71" i="10"/>
  <c r="M71" i="10"/>
  <c r="H71" i="10"/>
  <c r="N71" i="10"/>
  <c r="O71" i="10" s="1"/>
  <c r="F71" i="10"/>
  <c r="A59" i="16"/>
  <c r="C37" i="8"/>
  <c r="B37" i="8"/>
  <c r="G37" i="8"/>
  <c r="D37" i="8"/>
  <c r="J37" i="8"/>
  <c r="I37" i="8"/>
  <c r="H37" i="8"/>
  <c r="L37" i="8"/>
  <c r="K37" i="8"/>
  <c r="A20" i="8"/>
  <c r="A34" i="10"/>
  <c r="A23" i="7"/>
  <c r="A26" i="18"/>
  <c r="A99" i="9"/>
  <c r="A167" i="9"/>
  <c r="A146" i="9"/>
  <c r="A47" i="9"/>
  <c r="A100" i="9"/>
  <c r="A113" i="9"/>
  <c r="A105" i="9"/>
  <c r="A152" i="9"/>
  <c r="H89" i="17"/>
  <c r="I89" i="17" s="1"/>
  <c r="G89" i="17"/>
  <c r="F89" i="17"/>
  <c r="E89" i="17"/>
  <c r="C89" i="17"/>
  <c r="D89" i="17"/>
  <c r="H44" i="17"/>
  <c r="I44" i="17" s="1"/>
  <c r="E44" i="17"/>
  <c r="G44" i="17"/>
  <c r="C44" i="17"/>
  <c r="D44" i="17"/>
  <c r="F44" i="17"/>
  <c r="H76" i="17"/>
  <c r="I76" i="17" s="1"/>
  <c r="E76" i="17"/>
  <c r="D76" i="17"/>
  <c r="G76" i="17"/>
  <c r="F76" i="17"/>
  <c r="C76" i="17"/>
  <c r="D79" i="17"/>
  <c r="C79" i="17"/>
  <c r="F79" i="17"/>
  <c r="E79" i="17"/>
  <c r="G79" i="17"/>
  <c r="H79" i="17"/>
  <c r="I79" i="17" s="1"/>
  <c r="A187" i="8"/>
  <c r="H86" i="10"/>
  <c r="D86" i="10"/>
  <c r="B86" i="10"/>
  <c r="K86" i="10"/>
  <c r="F86" i="10"/>
  <c r="M86" i="10"/>
  <c r="D164" i="8"/>
  <c r="C164" i="8"/>
  <c r="B164" i="8"/>
  <c r="K164" i="8"/>
  <c r="J164" i="8"/>
  <c r="I164" i="8"/>
  <c r="H164" i="8"/>
  <c r="L164" i="8"/>
  <c r="G164" i="8"/>
  <c r="M164" i="8"/>
  <c r="N164" i="8" s="1"/>
  <c r="L19" i="7"/>
  <c r="K19" i="7"/>
  <c r="J19" i="7"/>
  <c r="G19" i="7"/>
  <c r="C19" i="7"/>
  <c r="B19" i="7"/>
  <c r="M19" i="7"/>
  <c r="H19" i="7"/>
  <c r="F19" i="7"/>
  <c r="E19" i="7"/>
  <c r="D19" i="7"/>
  <c r="N135" i="10"/>
  <c r="O135" i="10" s="1"/>
  <c r="M135" i="10"/>
  <c r="L135" i="10"/>
  <c r="D135" i="10"/>
  <c r="C135" i="10"/>
  <c r="B135" i="10"/>
  <c r="K135" i="10"/>
  <c r="I135" i="10"/>
  <c r="H135" i="10"/>
  <c r="G135" i="10"/>
  <c r="F135" i="10"/>
  <c r="E135" i="10"/>
  <c r="J135" i="10"/>
  <c r="L140" i="8"/>
  <c r="D140" i="8"/>
  <c r="C140" i="8"/>
  <c r="B140" i="8"/>
  <c r="M140" i="8"/>
  <c r="N140" i="8" s="1"/>
  <c r="I140" i="8"/>
  <c r="H140" i="8"/>
  <c r="K140" i="8"/>
  <c r="J140" i="8"/>
  <c r="G140" i="8"/>
  <c r="A70" i="7"/>
  <c r="A146" i="7"/>
  <c r="A167" i="7"/>
  <c r="A78" i="7"/>
  <c r="N178" i="10"/>
  <c r="O178" i="10" s="1"/>
  <c r="M178" i="10"/>
  <c r="J178" i="10"/>
  <c r="I178" i="10"/>
  <c r="D178" i="10"/>
  <c r="C178" i="10"/>
  <c r="F178" i="10"/>
  <c r="E178" i="10"/>
  <c r="B178" i="10"/>
  <c r="H178" i="10"/>
  <c r="G178" i="10"/>
  <c r="K178" i="10"/>
  <c r="L178" i="10"/>
  <c r="M166" i="8"/>
  <c r="N166" i="8" s="1"/>
  <c r="L166" i="8"/>
  <c r="J166" i="8"/>
  <c r="B166" i="8"/>
  <c r="D166" i="8"/>
  <c r="C166" i="8"/>
  <c r="K166" i="8"/>
  <c r="H166" i="8"/>
  <c r="I166" i="8"/>
  <c r="G166" i="8"/>
  <c r="A110" i="7"/>
  <c r="A49" i="7"/>
  <c r="A154" i="8"/>
  <c r="H72" i="18"/>
  <c r="I72" i="18" s="1"/>
  <c r="G72" i="18"/>
  <c r="F72" i="18"/>
  <c r="D72" i="18"/>
  <c r="E72" i="18"/>
  <c r="C72" i="18"/>
  <c r="H62" i="18"/>
  <c r="I62" i="18" s="1"/>
  <c r="G62" i="18"/>
  <c r="E62" i="18"/>
  <c r="C62" i="18"/>
  <c r="F62" i="18"/>
  <c r="D62" i="18"/>
  <c r="A76" i="8"/>
  <c r="A86" i="9"/>
  <c r="A101" i="9"/>
  <c r="A200" i="9"/>
  <c r="A61" i="9"/>
  <c r="A137" i="9"/>
  <c r="A186" i="9"/>
  <c r="A116" i="9"/>
  <c r="A178" i="9"/>
  <c r="A143" i="7"/>
  <c r="H92" i="18"/>
  <c r="I92" i="18" s="1"/>
  <c r="F92" i="18"/>
  <c r="G92" i="18"/>
  <c r="E92" i="18"/>
  <c r="C92" i="18"/>
  <c r="D92" i="18"/>
  <c r="A191" i="8"/>
  <c r="A166" i="10"/>
  <c r="A84" i="10"/>
  <c r="A50" i="16"/>
  <c r="A184" i="10"/>
  <c r="A42" i="16"/>
  <c r="A98" i="8"/>
  <c r="A75" i="18"/>
  <c r="A11" i="18"/>
  <c r="A68" i="18"/>
  <c r="A32" i="18"/>
  <c r="A36" i="9"/>
  <c r="A163" i="8"/>
  <c r="A102" i="10"/>
  <c r="A79" i="10"/>
  <c r="A171" i="10"/>
  <c r="A174" i="10"/>
  <c r="A52" i="10"/>
  <c r="A112" i="10"/>
  <c r="A53" i="10"/>
  <c r="A48" i="10"/>
  <c r="A164" i="10"/>
  <c r="A32" i="8"/>
  <c r="A18" i="8"/>
  <c r="A48" i="8"/>
  <c r="A61" i="16"/>
  <c r="A32" i="7"/>
  <c r="A189" i="7"/>
  <c r="A44" i="7"/>
  <c r="A103" i="7"/>
  <c r="A64" i="7"/>
  <c r="A80" i="7"/>
  <c r="A57" i="7"/>
  <c r="A128" i="7"/>
  <c r="A177" i="7"/>
  <c r="A118" i="8"/>
  <c r="A74" i="8"/>
  <c r="A147" i="8"/>
  <c r="A31" i="18"/>
  <c r="A37" i="18"/>
  <c r="A42" i="18"/>
  <c r="A9" i="18"/>
  <c r="A51" i="18"/>
  <c r="A195" i="9"/>
  <c r="A138" i="9"/>
  <c r="A188" i="9"/>
  <c r="A56" i="9"/>
  <c r="A121" i="9"/>
  <c r="A59" i="9"/>
  <c r="A111" i="9"/>
  <c r="A169" i="9"/>
  <c r="A127" i="9"/>
  <c r="A174" i="9"/>
  <c r="F9" i="17"/>
  <c r="E9" i="17"/>
  <c r="D9" i="17"/>
  <c r="C9" i="17"/>
  <c r="G9" i="17"/>
  <c r="H65" i="17"/>
  <c r="I65" i="17" s="1"/>
  <c r="F65" i="17"/>
  <c r="G65" i="17"/>
  <c r="E65" i="17"/>
  <c r="C65" i="17"/>
  <c r="D65" i="17"/>
  <c r="H70" i="17"/>
  <c r="I70" i="17" s="1"/>
  <c r="E70" i="17"/>
  <c r="G70" i="17"/>
  <c r="F70" i="17"/>
  <c r="D70" i="17"/>
  <c r="C70" i="17"/>
  <c r="H84" i="17"/>
  <c r="I84" i="17" s="1"/>
  <c r="E84" i="17"/>
  <c r="D84" i="17"/>
  <c r="G84" i="17"/>
  <c r="F84" i="17"/>
  <c r="C84" i="17"/>
  <c r="H102" i="17"/>
  <c r="I102" i="17" s="1"/>
  <c r="E102" i="17"/>
  <c r="D102" i="17"/>
  <c r="F102" i="17"/>
  <c r="C102" i="17"/>
  <c r="G102" i="17"/>
  <c r="A91" i="8"/>
  <c r="M5" i="10"/>
  <c r="B5" i="10"/>
  <c r="L5" i="10"/>
  <c r="K5" i="10"/>
  <c r="G5" i="10"/>
  <c r="F5" i="10"/>
  <c r="I5" i="10"/>
  <c r="H5" i="10"/>
  <c r="E5" i="10"/>
  <c r="D5" i="10"/>
  <c r="C5" i="10"/>
  <c r="J5" i="10"/>
  <c r="B37" i="10"/>
  <c r="A93" i="8"/>
  <c r="A178" i="8"/>
  <c r="A43" i="16"/>
  <c r="A198" i="7"/>
  <c r="A97" i="7"/>
  <c r="A166" i="7"/>
  <c r="A148" i="10"/>
  <c r="A30" i="10"/>
  <c r="A73" i="10"/>
  <c r="A104" i="10"/>
  <c r="A175" i="10"/>
  <c r="A39" i="8"/>
  <c r="A16" i="7"/>
  <c r="A19" i="18"/>
  <c r="A28" i="9"/>
  <c r="A58" i="9"/>
  <c r="A135" i="9"/>
  <c r="A154" i="9"/>
  <c r="F55" i="17"/>
  <c r="E55" i="17"/>
  <c r="H55" i="17"/>
  <c r="I55" i="17" s="1"/>
  <c r="G55" i="17"/>
  <c r="D55" i="17"/>
  <c r="C55" i="17"/>
  <c r="H90" i="17"/>
  <c r="I90" i="17" s="1"/>
  <c r="E90" i="17"/>
  <c r="D90" i="17"/>
  <c r="F90" i="17"/>
  <c r="C90" i="17"/>
  <c r="G90" i="17"/>
  <c r="A47" i="10"/>
  <c r="A174" i="8"/>
  <c r="A39" i="7"/>
  <c r="A127" i="7"/>
  <c r="A199" i="7"/>
  <c r="A200" i="8"/>
  <c r="A4" i="18"/>
  <c r="A33" i="18"/>
  <c r="A8" i="18"/>
  <c r="A30" i="18"/>
  <c r="A95" i="18"/>
  <c r="A203" i="9"/>
  <c r="A134" i="9"/>
  <c r="A33" i="9"/>
  <c r="A119" i="9"/>
  <c r="A12" i="9"/>
  <c r="A112" i="9"/>
  <c r="A17" i="9"/>
  <c r="A202" i="9"/>
  <c r="A118" i="9"/>
  <c r="A49" i="16"/>
  <c r="H28" i="17"/>
  <c r="I28" i="17" s="1"/>
  <c r="F28" i="17"/>
  <c r="E28" i="17"/>
  <c r="D28" i="17"/>
  <c r="C28" i="17"/>
  <c r="G28" i="17"/>
  <c r="H14" i="17"/>
  <c r="I14" i="17" s="1"/>
  <c r="G14" i="17"/>
  <c r="F14" i="17"/>
  <c r="E14" i="17"/>
  <c r="D14" i="17"/>
  <c r="C14" i="17"/>
  <c r="H32" i="17"/>
  <c r="I32" i="17" s="1"/>
  <c r="D32" i="17"/>
  <c r="C32" i="17"/>
  <c r="F32" i="17"/>
  <c r="G32" i="17"/>
  <c r="E32" i="17"/>
  <c r="A41" i="16"/>
  <c r="A104" i="8"/>
  <c r="H68" i="16"/>
  <c r="I68" i="16" s="1"/>
  <c r="E68" i="16"/>
  <c r="D68" i="16"/>
  <c r="C68" i="16"/>
  <c r="G68" i="16"/>
  <c r="F68" i="16"/>
  <c r="N69" i="10"/>
  <c r="O69" i="10" s="1"/>
  <c r="M69" i="10"/>
  <c r="L69" i="10"/>
  <c r="K69" i="10"/>
  <c r="J69" i="10"/>
  <c r="H69" i="10"/>
  <c r="I69" i="10"/>
  <c r="G69" i="10"/>
  <c r="E69" i="10"/>
  <c r="B69" i="10"/>
  <c r="F69" i="10"/>
  <c r="D69" i="10"/>
  <c r="C69" i="10"/>
  <c r="A134" i="7"/>
  <c r="A119" i="7"/>
  <c r="A69" i="8"/>
  <c r="A21" i="18"/>
  <c r="A73" i="18"/>
  <c r="A104" i="9"/>
  <c r="A4" i="9"/>
  <c r="A171" i="9"/>
  <c r="A196" i="9"/>
  <c r="D19" i="17"/>
  <c r="C19" i="17"/>
  <c r="H19" i="17"/>
  <c r="I19" i="17" s="1"/>
  <c r="F19" i="17"/>
  <c r="G19" i="17"/>
  <c r="E19" i="17"/>
  <c r="A70" i="10"/>
  <c r="A59" i="7"/>
  <c r="A57" i="16"/>
  <c r="A140" i="10"/>
  <c r="A14" i="8"/>
  <c r="A44" i="16"/>
  <c r="A96" i="7"/>
  <c r="A59" i="8"/>
  <c r="A50" i="18"/>
  <c r="A63" i="18"/>
  <c r="A10" i="18"/>
  <c r="A43" i="18"/>
  <c r="A16" i="18"/>
  <c r="A62" i="9"/>
  <c r="A10" i="9"/>
  <c r="A122" i="9"/>
  <c r="A15" i="9"/>
  <c r="A50" i="9"/>
  <c r="A69" i="9"/>
  <c r="A140" i="9"/>
  <c r="A62" i="16"/>
  <c r="H103" i="17"/>
  <c r="I103" i="17" s="1"/>
  <c r="G103" i="17"/>
  <c r="F103" i="17"/>
  <c r="D103" i="17"/>
  <c r="C103" i="17"/>
  <c r="E103" i="17"/>
  <c r="H34" i="17"/>
  <c r="I34" i="17" s="1"/>
  <c r="F34" i="17"/>
  <c r="E34" i="17"/>
  <c r="D34" i="17"/>
  <c r="C34" i="17"/>
  <c r="G34" i="17"/>
  <c r="G51" i="17"/>
  <c r="F51" i="17"/>
  <c r="E51" i="17"/>
  <c r="D51" i="17"/>
  <c r="H51" i="17"/>
  <c r="I51" i="17" s="1"/>
  <c r="C51" i="17"/>
  <c r="F64" i="17"/>
  <c r="A90" i="8"/>
  <c r="A196" i="8"/>
  <c r="B80" i="10"/>
  <c r="M80" i="10"/>
  <c r="L80" i="10"/>
  <c r="K80" i="10"/>
  <c r="J80" i="10"/>
  <c r="H80" i="10"/>
  <c r="D80" i="10"/>
  <c r="C80" i="10"/>
  <c r="N80" i="10"/>
  <c r="O80" i="10" s="1"/>
  <c r="F80" i="10"/>
  <c r="E80" i="10"/>
  <c r="I80" i="10"/>
  <c r="G80" i="10"/>
  <c r="A84" i="16"/>
  <c r="A190" i="10"/>
  <c r="A134" i="10"/>
  <c r="A163" i="10"/>
  <c r="A71" i="16"/>
  <c r="A180" i="8"/>
  <c r="A176" i="8"/>
  <c r="J7" i="7"/>
  <c r="I7" i="7"/>
  <c r="H7" i="7"/>
  <c r="G7" i="7"/>
  <c r="E7" i="7"/>
  <c r="K7" i="7"/>
  <c r="F7" i="7"/>
  <c r="D7" i="7"/>
  <c r="C7" i="7"/>
  <c r="B7" i="7"/>
  <c r="M7" i="7"/>
  <c r="L7" i="7"/>
  <c r="A106" i="7"/>
  <c r="A145" i="8"/>
  <c r="G67" i="18"/>
  <c r="F67" i="18"/>
  <c r="H67" i="18"/>
  <c r="I67" i="18" s="1"/>
  <c r="E67" i="18"/>
  <c r="D67" i="18"/>
  <c r="C67" i="18"/>
  <c r="G13" i="18"/>
  <c r="F13" i="18"/>
  <c r="D13" i="18"/>
  <c r="E13" i="18"/>
  <c r="C13" i="18"/>
  <c r="A97" i="9"/>
  <c r="A29" i="9"/>
  <c r="A164" i="9"/>
  <c r="A38" i="9"/>
  <c r="A192" i="9"/>
  <c r="H82" i="17"/>
  <c r="I82" i="17" s="1"/>
  <c r="E82" i="17"/>
  <c r="D82" i="17"/>
  <c r="G82" i="17"/>
  <c r="F82" i="17"/>
  <c r="C82" i="17"/>
  <c r="A16" i="8"/>
  <c r="A91" i="10"/>
  <c r="A108" i="10"/>
  <c r="A98" i="10"/>
  <c r="A137" i="10"/>
  <c r="A16" i="10"/>
  <c r="A77" i="10"/>
  <c r="A24" i="8"/>
  <c r="G4" i="16"/>
  <c r="E4" i="16"/>
  <c r="F4" i="16"/>
  <c r="D4" i="16"/>
  <c r="C4" i="16"/>
  <c r="A41" i="7"/>
  <c r="A51" i="7"/>
  <c r="A121" i="7"/>
  <c r="A139" i="7"/>
  <c r="A177" i="8"/>
  <c r="A79" i="8"/>
  <c r="A84" i="18"/>
  <c r="A185" i="9"/>
  <c r="A66" i="9"/>
  <c r="A7" i="8"/>
  <c r="A155" i="10"/>
  <c r="A196" i="10"/>
  <c r="A106" i="10"/>
  <c r="A133" i="10"/>
  <c r="A130" i="10"/>
  <c r="A186" i="10"/>
  <c r="A190" i="8"/>
  <c r="A20" i="16"/>
  <c r="A115" i="7"/>
  <c r="A37" i="7"/>
  <c r="A85" i="7"/>
  <c r="A110" i="8"/>
  <c r="A55" i="10"/>
  <c r="A197" i="10"/>
  <c r="A131" i="8"/>
  <c r="A75" i="7"/>
  <c r="A175" i="7"/>
  <c r="A92" i="7"/>
  <c r="A36" i="7"/>
  <c r="A192" i="7"/>
  <c r="A67" i="7"/>
  <c r="A161" i="7"/>
  <c r="A190" i="9"/>
  <c r="A97" i="10"/>
  <c r="A82" i="10"/>
  <c r="A183" i="10"/>
  <c r="A54" i="10"/>
  <c r="A39" i="10"/>
  <c r="A113" i="10"/>
  <c r="A61" i="8"/>
  <c r="A30" i="16"/>
  <c r="A80" i="16"/>
  <c r="A182" i="7"/>
  <c r="A156" i="7"/>
  <c r="A72" i="7"/>
  <c r="A196" i="7"/>
  <c r="A159" i="7"/>
  <c r="A71" i="7"/>
  <c r="A172" i="7"/>
  <c r="A13" i="16"/>
  <c r="K198" i="10"/>
  <c r="A111" i="7"/>
  <c r="A155" i="8"/>
  <c r="A43" i="8"/>
  <c r="A34" i="8"/>
  <c r="A156" i="8"/>
  <c r="A132" i="8"/>
  <c r="A89" i="8"/>
  <c r="A44" i="8"/>
  <c r="A100" i="8"/>
  <c r="A179" i="8"/>
  <c r="A80" i="8"/>
  <c r="A144" i="8"/>
  <c r="A58" i="8"/>
  <c r="A169" i="8"/>
  <c r="A99" i="8"/>
  <c r="A108" i="8"/>
  <c r="A9" i="8"/>
  <c r="A202" i="8"/>
  <c r="A56" i="8"/>
  <c r="A64" i="8"/>
  <c r="A82" i="8"/>
  <c r="A77" i="8"/>
  <c r="A54" i="8"/>
  <c r="A102" i="8"/>
  <c r="A72" i="8"/>
  <c r="A29" i="8"/>
  <c r="A195" i="8"/>
  <c r="A85" i="8"/>
  <c r="A109" i="8"/>
  <c r="A112" i="8"/>
  <c r="A46" i="8"/>
  <c r="A19" i="8"/>
  <c r="A17" i="8"/>
  <c r="A25" i="8"/>
  <c r="A141" i="8"/>
  <c r="A152" i="8"/>
  <c r="A101" i="8"/>
  <c r="A65" i="8"/>
  <c r="A173" i="8"/>
  <c r="A88" i="8"/>
  <c r="A129" i="8"/>
  <c r="A47" i="8"/>
  <c r="A36" i="8"/>
  <c r="A40" i="8"/>
  <c r="A22" i="8"/>
  <c r="A94" i="8"/>
  <c r="A151" i="8"/>
  <c r="A33" i="8"/>
  <c r="A161" i="8"/>
  <c r="A96" i="8"/>
  <c r="A188" i="8"/>
  <c r="A133" i="8"/>
  <c r="A157" i="8"/>
  <c r="A170" i="8"/>
  <c r="A111" i="8"/>
  <c r="A125" i="8"/>
  <c r="A92" i="8"/>
  <c r="A51" i="8"/>
  <c r="A139" i="8"/>
  <c r="A67" i="8"/>
  <c r="A105" i="8"/>
  <c r="A78" i="8"/>
  <c r="A68" i="8"/>
  <c r="A158" i="8"/>
  <c r="A188" i="7"/>
  <c r="A32" i="16"/>
  <c r="A29" i="18"/>
  <c r="A32" i="9"/>
  <c r="A18" i="9"/>
  <c r="A165" i="9"/>
  <c r="H20" i="17"/>
  <c r="I20" i="17" s="1"/>
  <c r="D20" i="17"/>
  <c r="G20" i="17"/>
  <c r="F20" i="17"/>
  <c r="E20" i="17"/>
  <c r="C20" i="17"/>
  <c r="H92" i="17"/>
  <c r="I92" i="17" s="1"/>
  <c r="E92" i="17"/>
  <c r="D92" i="17"/>
  <c r="F92" i="17"/>
  <c r="C92" i="17"/>
  <c r="G92" i="17"/>
  <c r="A129" i="10"/>
  <c r="A46" i="10"/>
  <c r="A42" i="8"/>
  <c r="G14" i="7"/>
  <c r="F14" i="7"/>
  <c r="E14" i="7"/>
  <c r="D14" i="7"/>
  <c r="C14" i="7"/>
  <c r="J14" i="7"/>
  <c r="H14" i="7"/>
  <c r="B14" i="7"/>
  <c r="L14" i="7"/>
  <c r="K14" i="7"/>
  <c r="M14" i="7"/>
  <c r="I14" i="7"/>
  <c r="A83" i="8"/>
  <c r="A87" i="18"/>
  <c r="A14" i="18"/>
  <c r="A45" i="18"/>
  <c r="A60" i="18"/>
  <c r="A61" i="18"/>
  <c r="A71" i="9"/>
  <c r="A84" i="9"/>
  <c r="A145" i="9"/>
  <c r="A88" i="9"/>
  <c r="A168" i="9"/>
  <c r="H40" i="17"/>
  <c r="I40" i="17" s="1"/>
  <c r="G40" i="17"/>
  <c r="F40" i="17"/>
  <c r="E40" i="17"/>
  <c r="C40" i="17"/>
  <c r="D40" i="17"/>
  <c r="F67" i="17"/>
  <c r="H68" i="17"/>
  <c r="I68" i="17" s="1"/>
  <c r="E68" i="17"/>
  <c r="F68" i="17"/>
  <c r="D68" i="17"/>
  <c r="C68" i="17"/>
  <c r="G68" i="17"/>
  <c r="H100" i="17"/>
  <c r="I100" i="17" s="1"/>
  <c r="E100" i="17"/>
  <c r="D100" i="17"/>
  <c r="F100" i="17"/>
  <c r="C100" i="17"/>
  <c r="G100" i="17"/>
  <c r="A95" i="16"/>
  <c r="A54" i="16"/>
  <c r="A179" i="10"/>
  <c r="A27" i="10"/>
  <c r="A195" i="10"/>
  <c r="A51" i="10"/>
  <c r="A160" i="10"/>
  <c r="A117" i="10"/>
  <c r="A60" i="10"/>
  <c r="A172" i="10"/>
  <c r="A92" i="10"/>
  <c r="A182" i="8"/>
  <c r="A5" i="8"/>
  <c r="A50" i="8"/>
  <c r="A193" i="8"/>
  <c r="A15" i="16"/>
  <c r="A35" i="16"/>
  <c r="A31" i="16"/>
  <c r="A6" i="7"/>
  <c r="A101" i="7"/>
  <c r="A176" i="7"/>
  <c r="A187" i="7"/>
  <c r="A123" i="7"/>
  <c r="A9" i="7"/>
  <c r="A91" i="7"/>
  <c r="A129" i="7"/>
  <c r="A194" i="7"/>
  <c r="A165" i="8"/>
  <c r="A101" i="16"/>
  <c r="A96" i="18"/>
  <c r="A101" i="18"/>
  <c r="A55" i="18"/>
  <c r="A71" i="18"/>
  <c r="A83" i="18"/>
  <c r="A25" i="9"/>
  <c r="A43" i="9"/>
  <c r="A126" i="9"/>
  <c r="A13" i="9"/>
  <c r="A108" i="9"/>
  <c r="A7" i="9"/>
  <c r="A147" i="9"/>
  <c r="A102" i="9"/>
  <c r="A177" i="9"/>
  <c r="A79" i="16"/>
  <c r="H66" i="17"/>
  <c r="I66" i="17" s="1"/>
  <c r="E66" i="17"/>
  <c r="G66" i="17"/>
  <c r="F66" i="17"/>
  <c r="D66" i="17"/>
  <c r="C66" i="17"/>
  <c r="H45" i="17"/>
  <c r="I45" i="17" s="1"/>
  <c r="G45" i="17"/>
  <c r="F45" i="17"/>
  <c r="E45" i="17"/>
  <c r="D45" i="17"/>
  <c r="C45" i="17"/>
  <c r="E93" i="17"/>
  <c r="D93" i="17"/>
  <c r="C93" i="17"/>
  <c r="H93" i="17"/>
  <c r="I93" i="17" s="1"/>
  <c r="F93" i="17"/>
  <c r="G93" i="17"/>
  <c r="C4" i="17"/>
  <c r="G4" i="17"/>
  <c r="E4" i="17"/>
  <c r="D4" i="17"/>
  <c r="F4" i="17"/>
  <c r="A113" i="8"/>
  <c r="E170" i="10"/>
  <c r="D170" i="10"/>
  <c r="C170" i="10"/>
  <c r="J170" i="10"/>
  <c r="I170" i="10"/>
  <c r="B170" i="10"/>
  <c r="N170" i="10"/>
  <c r="O170" i="10" s="1"/>
  <c r="M170" i="10"/>
  <c r="L170" i="10"/>
  <c r="H170" i="10"/>
  <c r="K170" i="10"/>
  <c r="G170" i="10"/>
  <c r="F170" i="10"/>
  <c r="C128" i="10"/>
  <c r="B158" i="10"/>
  <c r="F158" i="10"/>
  <c r="E158" i="10"/>
  <c r="D158" i="10"/>
  <c r="C158" i="10"/>
  <c r="H158" i="10"/>
  <c r="G158" i="10"/>
  <c r="M158" i="10"/>
  <c r="J158" i="10"/>
  <c r="N158" i="10"/>
  <c r="O158" i="10" s="1"/>
  <c r="L158" i="10"/>
  <c r="K158" i="10"/>
  <c r="I158" i="10"/>
  <c r="A203" i="7"/>
  <c r="L8" i="10"/>
  <c r="K8" i="10"/>
  <c r="J8" i="10"/>
  <c r="G8" i="10"/>
  <c r="M8" i="10"/>
  <c r="H8" i="10"/>
  <c r="I8" i="10"/>
  <c r="F8" i="10"/>
  <c r="D8" i="10"/>
  <c r="C8" i="10"/>
  <c r="B8" i="10"/>
  <c r="E8" i="10"/>
  <c r="I83" i="10"/>
  <c r="G165" i="10"/>
  <c r="F165" i="10"/>
  <c r="E165" i="10"/>
  <c r="B165" i="10"/>
  <c r="N165" i="10"/>
  <c r="O165" i="10" s="1"/>
  <c r="M165" i="10"/>
  <c r="I165" i="10"/>
  <c r="H165" i="10"/>
  <c r="D165" i="10"/>
  <c r="C165" i="10"/>
  <c r="L165" i="10"/>
  <c r="J165" i="10"/>
  <c r="K165" i="10"/>
  <c r="A34" i="16"/>
  <c r="A83" i="7"/>
  <c r="A52" i="7"/>
  <c r="K111" i="10"/>
  <c r="J111" i="10"/>
  <c r="I111" i="10"/>
  <c r="E111" i="10"/>
  <c r="H111" i="10"/>
  <c r="G111" i="10"/>
  <c r="B111" i="10"/>
  <c r="N111" i="10"/>
  <c r="O111" i="10" s="1"/>
  <c r="C111" i="10"/>
  <c r="F111" i="10"/>
  <c r="D111" i="10"/>
  <c r="M111" i="10"/>
  <c r="L111" i="10"/>
  <c r="M175" i="8"/>
  <c r="N175" i="8" s="1"/>
  <c r="K175" i="8"/>
  <c r="B175" i="8"/>
  <c r="L175" i="8"/>
  <c r="J175" i="8"/>
  <c r="G175" i="8"/>
  <c r="D175" i="8"/>
  <c r="I175" i="8"/>
  <c r="H175" i="8"/>
  <c r="C175" i="8"/>
  <c r="A64" i="16"/>
  <c r="A71" i="8"/>
  <c r="A98" i="7"/>
  <c r="A107" i="7"/>
  <c r="C43" i="10"/>
  <c r="B43" i="10"/>
  <c r="E43" i="10"/>
  <c r="D43" i="10"/>
  <c r="H43" i="10"/>
  <c r="G43" i="10"/>
  <c r="F43" i="10"/>
  <c r="N43" i="10"/>
  <c r="O43" i="10" s="1"/>
  <c r="M43" i="10"/>
  <c r="L43" i="10"/>
  <c r="K43" i="10"/>
  <c r="J43" i="10"/>
  <c r="I43" i="10"/>
  <c r="A26" i="16"/>
  <c r="A57" i="18"/>
  <c r="A60" i="9"/>
  <c r="H46" i="17"/>
  <c r="I46" i="17" s="1"/>
  <c r="E46" i="17"/>
  <c r="F46" i="17"/>
  <c r="D46" i="17"/>
  <c r="C46" i="17"/>
  <c r="G46" i="17"/>
  <c r="A68" i="10"/>
  <c r="A142" i="8"/>
  <c r="A25" i="16"/>
  <c r="A51" i="9"/>
  <c r="A116" i="10"/>
  <c r="A99" i="10"/>
  <c r="A93" i="16"/>
  <c r="A174" i="7"/>
  <c r="A137" i="7"/>
  <c r="A58" i="7"/>
  <c r="A22" i="7"/>
  <c r="A91" i="16"/>
  <c r="A65" i="18"/>
  <c r="A194" i="9"/>
  <c r="A173" i="9"/>
  <c r="H86" i="17"/>
  <c r="I86" i="17" s="1"/>
  <c r="E86" i="17"/>
  <c r="D86" i="17"/>
  <c r="G86" i="17"/>
  <c r="F86" i="17"/>
  <c r="C86" i="17"/>
  <c r="D13" i="17"/>
  <c r="C13" i="17"/>
  <c r="G13" i="17"/>
  <c r="F13" i="17"/>
  <c r="E13" i="17"/>
  <c r="A18" i="10"/>
  <c r="A110" i="10"/>
  <c r="A86" i="8"/>
  <c r="A75" i="8"/>
  <c r="A77" i="16"/>
  <c r="A46" i="16"/>
  <c r="A168" i="7"/>
  <c r="A81" i="7"/>
  <c r="A113" i="7"/>
  <c r="A164" i="7"/>
  <c r="A200" i="7"/>
  <c r="A63" i="7"/>
  <c r="A138" i="7"/>
  <c r="A151" i="7"/>
  <c r="A30" i="7"/>
  <c r="A27" i="16"/>
  <c r="A8" i="16"/>
  <c r="A97" i="8"/>
  <c r="A67" i="16"/>
  <c r="A70" i="18"/>
  <c r="A94" i="18"/>
  <c r="A69" i="18"/>
  <c r="A7" i="18"/>
  <c r="A201" i="8"/>
  <c r="A41" i="9"/>
  <c r="A189" i="9"/>
  <c r="A96" i="9"/>
  <c r="A48" i="9"/>
  <c r="A187" i="9"/>
  <c r="A103" i="9"/>
  <c r="A184" i="9"/>
  <c r="A161" i="9"/>
  <c r="A65" i="9"/>
  <c r="A121" i="8"/>
  <c r="F21" i="17"/>
  <c r="E21" i="17"/>
  <c r="D21" i="17"/>
  <c r="C21" i="17"/>
  <c r="H21" i="17"/>
  <c r="I21" i="17" s="1"/>
  <c r="G21" i="17"/>
  <c r="H83" i="17"/>
  <c r="I83" i="17" s="1"/>
  <c r="F83" i="17"/>
  <c r="E83" i="17"/>
  <c r="D83" i="17"/>
  <c r="C83" i="17"/>
  <c r="G83" i="17"/>
  <c r="H50" i="17"/>
  <c r="I50" i="17" s="1"/>
  <c r="E50" i="17"/>
  <c r="C50" i="17"/>
  <c r="G50" i="17"/>
  <c r="F50" i="17"/>
  <c r="D50" i="17"/>
  <c r="A6" i="8"/>
  <c r="A194" i="8"/>
  <c r="H89" i="16"/>
  <c r="I89" i="16" s="1"/>
  <c r="C89" i="16"/>
  <c r="F89" i="16"/>
  <c r="D89" i="16"/>
  <c r="G89" i="16"/>
  <c r="E89" i="16"/>
  <c r="I31" i="7"/>
  <c r="H31" i="7"/>
  <c r="G31" i="7"/>
  <c r="D31" i="7"/>
  <c r="C31" i="7"/>
  <c r="M31" i="7"/>
  <c r="L31" i="7"/>
  <c r="K31" i="7"/>
  <c r="J31" i="7"/>
  <c r="E31" i="7"/>
  <c r="F31" i="7"/>
  <c r="B31" i="7"/>
  <c r="A109" i="7"/>
  <c r="A145" i="7"/>
  <c r="A66" i="7"/>
  <c r="A29" i="16"/>
  <c r="E181" i="10"/>
  <c r="D181" i="10"/>
  <c r="H181" i="10"/>
  <c r="F181" i="10"/>
  <c r="K181" i="10"/>
  <c r="L181" i="10"/>
  <c r="G181" i="10"/>
  <c r="L117" i="8"/>
  <c r="K117" i="8"/>
  <c r="J117" i="8"/>
  <c r="I117" i="8"/>
  <c r="G117" i="8"/>
  <c r="M117" i="8"/>
  <c r="N117" i="8" s="1"/>
  <c r="H117" i="8"/>
  <c r="B117" i="8"/>
  <c r="C117" i="8"/>
  <c r="D117" i="8"/>
  <c r="A36" i="16"/>
  <c r="N123" i="10"/>
  <c r="O123" i="10" s="1"/>
  <c r="M123" i="10"/>
  <c r="J123" i="10"/>
  <c r="I123" i="10"/>
  <c r="K123" i="10"/>
  <c r="H123" i="10"/>
  <c r="D123" i="10"/>
  <c r="B123" i="10"/>
  <c r="G123" i="10"/>
  <c r="F123" i="10"/>
  <c r="E123" i="10"/>
  <c r="C123" i="10"/>
  <c r="L123" i="10"/>
  <c r="C180" i="10"/>
  <c r="B180" i="10"/>
  <c r="J180" i="10"/>
  <c r="I180" i="10"/>
  <c r="H180" i="10"/>
  <c r="G180" i="10"/>
  <c r="E180" i="10"/>
  <c r="F180" i="10"/>
  <c r="D180" i="10"/>
  <c r="N180" i="10"/>
  <c r="O180" i="10" s="1"/>
  <c r="M180" i="10"/>
  <c r="L180" i="10"/>
  <c r="K180" i="10"/>
  <c r="A22" i="16"/>
  <c r="A89" i="7"/>
  <c r="E52" i="18"/>
  <c r="D52" i="18"/>
  <c r="C52" i="18"/>
  <c r="F52" i="18"/>
  <c r="G52" i="18"/>
  <c r="H52" i="18"/>
  <c r="I52" i="18" s="1"/>
  <c r="A92" i="16"/>
  <c r="A40" i="18"/>
  <c r="A183" i="9"/>
  <c r="G10" i="17"/>
  <c r="F10" i="17"/>
  <c r="C10" i="17"/>
  <c r="E10" i="17"/>
  <c r="D10" i="17"/>
  <c r="A82" i="16"/>
  <c r="A28" i="7"/>
  <c r="A163" i="7"/>
  <c r="A15" i="7"/>
  <c r="A88" i="7"/>
  <c r="A60" i="16"/>
  <c r="A115" i="9"/>
  <c r="A159" i="10"/>
  <c r="A126" i="10"/>
  <c r="A55" i="8"/>
  <c r="A181" i="7"/>
  <c r="A140" i="7"/>
  <c r="A159" i="8"/>
  <c r="A47" i="18"/>
  <c r="A19" i="9"/>
  <c r="A64" i="9"/>
  <c r="G6" i="17"/>
  <c r="D6" i="17"/>
  <c r="C6" i="17"/>
  <c r="F6" i="17"/>
  <c r="E6" i="17"/>
  <c r="A75" i="16"/>
  <c r="A139" i="10"/>
  <c r="A29" i="10"/>
  <c r="A50" i="10"/>
  <c r="A114" i="10"/>
  <c r="A65" i="10"/>
  <c r="A57" i="10"/>
  <c r="A125" i="10"/>
  <c r="A83" i="16"/>
  <c r="A14" i="16"/>
  <c r="A18" i="16"/>
  <c r="A47" i="7"/>
  <c r="A87" i="7"/>
  <c r="A82" i="7"/>
  <c r="A190" i="7"/>
  <c r="A5" i="7"/>
  <c r="A86" i="7"/>
  <c r="A191" i="7"/>
  <c r="A162" i="7"/>
  <c r="A13" i="7"/>
  <c r="A115" i="8"/>
  <c r="A98" i="16"/>
  <c r="A17" i="18"/>
  <c r="A102" i="18"/>
  <c r="A76" i="18"/>
  <c r="A27" i="18"/>
  <c r="A167" i="8"/>
  <c r="A37" i="9"/>
  <c r="A95" i="9"/>
  <c r="A124" i="9"/>
  <c r="A91" i="9"/>
  <c r="A21" i="9"/>
  <c r="A125" i="9"/>
  <c r="A6" i="9"/>
  <c r="A191" i="9"/>
  <c r="A87" i="9"/>
  <c r="A197" i="8"/>
  <c r="F31" i="17"/>
  <c r="E31" i="17"/>
  <c r="G31" i="17"/>
  <c r="D31" i="17"/>
  <c r="C31" i="17"/>
  <c r="H31" i="17"/>
  <c r="I31" i="17" s="1"/>
  <c r="H26" i="17"/>
  <c r="I26" i="17" s="1"/>
  <c r="G26" i="17"/>
  <c r="C26" i="17"/>
  <c r="E26" i="17"/>
  <c r="D26" i="17"/>
  <c r="F26" i="17"/>
  <c r="C57" i="17"/>
  <c r="E57" i="17"/>
  <c r="D57" i="17"/>
  <c r="H57" i="17"/>
  <c r="I57" i="17" s="1"/>
  <c r="G57" i="17"/>
  <c r="F57" i="17"/>
  <c r="A122" i="8"/>
  <c r="A47" i="16"/>
  <c r="N157" i="10"/>
  <c r="O157" i="10" s="1"/>
  <c r="M157" i="10"/>
  <c r="K157" i="10"/>
  <c r="I157" i="10"/>
  <c r="D157" i="10"/>
  <c r="C157" i="10"/>
  <c r="H157" i="10"/>
  <c r="G44" i="10"/>
  <c r="F44" i="10"/>
  <c r="B44" i="10"/>
  <c r="L44" i="10"/>
  <c r="K44" i="10"/>
  <c r="J44" i="10"/>
  <c r="I44" i="10"/>
  <c r="E44" i="10"/>
  <c r="C44" i="10"/>
  <c r="N44" i="10"/>
  <c r="O44" i="10" s="1"/>
  <c r="H44" i="10"/>
  <c r="D44" i="10"/>
  <c r="M44" i="10"/>
  <c r="E154" i="10"/>
  <c r="B154" i="10"/>
  <c r="L154" i="10"/>
  <c r="K154" i="10"/>
  <c r="C154" i="10"/>
  <c r="D154" i="10"/>
  <c r="H66" i="16"/>
  <c r="I66" i="16" s="1"/>
  <c r="G66" i="16"/>
  <c r="F66" i="16"/>
  <c r="E66" i="16"/>
  <c r="D66" i="16"/>
  <c r="C66" i="16"/>
  <c r="H33" i="16"/>
  <c r="I33" i="16" s="1"/>
  <c r="G33" i="16"/>
  <c r="E33" i="16"/>
  <c r="F33" i="16"/>
  <c r="D33" i="16"/>
  <c r="C33" i="16"/>
  <c r="A195" i="7"/>
  <c r="K67" i="10"/>
  <c r="J67" i="10"/>
  <c r="M67" i="10"/>
  <c r="I67" i="10"/>
  <c r="G67" i="10"/>
  <c r="E67" i="10"/>
  <c r="H67" i="10"/>
  <c r="L49" i="10"/>
  <c r="L169" i="10"/>
  <c r="A17" i="16"/>
  <c r="A34" i="7"/>
  <c r="I105" i="10"/>
  <c r="H105" i="10"/>
  <c r="C105" i="10"/>
  <c r="L105" i="10"/>
  <c r="K105" i="10"/>
  <c r="E105" i="10"/>
  <c r="N105" i="10"/>
  <c r="O105" i="10" s="1"/>
  <c r="M105" i="10"/>
  <c r="G105" i="10"/>
  <c r="J105" i="10"/>
  <c r="F105" i="10"/>
  <c r="B105" i="10"/>
  <c r="D105" i="10"/>
  <c r="C20" i="10"/>
  <c r="B20" i="10"/>
  <c r="E20" i="10"/>
  <c r="D20" i="10"/>
  <c r="H20" i="10"/>
  <c r="G20" i="10"/>
  <c r="F20" i="10"/>
  <c r="K20" i="10"/>
  <c r="J20" i="10"/>
  <c r="M20" i="10"/>
  <c r="L20" i="10"/>
  <c r="D107" i="8"/>
  <c r="C107" i="8"/>
  <c r="B107" i="8"/>
  <c r="I107" i="8"/>
  <c r="H107" i="8"/>
  <c r="L107" i="8"/>
  <c r="M107" i="8"/>
  <c r="N107" i="8" s="1"/>
  <c r="K107" i="8"/>
  <c r="J107" i="8"/>
  <c r="G107" i="8"/>
  <c r="A26" i="7"/>
  <c r="A185" i="7"/>
  <c r="A131" i="7"/>
  <c r="A65" i="7"/>
  <c r="A99" i="7"/>
  <c r="A52" i="16"/>
  <c r="H202" i="10"/>
  <c r="G202" i="10"/>
  <c r="F202" i="10"/>
  <c r="C202" i="10"/>
  <c r="B202" i="10"/>
  <c r="K202" i="10"/>
  <c r="J202" i="10"/>
  <c r="I202" i="10"/>
  <c r="E202" i="10"/>
  <c r="L202" i="10"/>
  <c r="D202" i="10"/>
  <c r="N202" i="10"/>
  <c r="O202" i="10" s="1"/>
  <c r="M202" i="10"/>
  <c r="A66" i="8"/>
  <c r="A19" i="16"/>
  <c r="A40" i="7"/>
  <c r="A141" i="7"/>
  <c r="H36" i="18"/>
  <c r="I36" i="18" s="1"/>
  <c r="G36" i="18"/>
  <c r="E36" i="18"/>
  <c r="D36" i="18"/>
  <c r="C36" i="18"/>
  <c r="F36" i="18"/>
  <c r="A122" i="10"/>
  <c r="A200" i="10"/>
  <c r="A109" i="10"/>
  <c r="A168" i="10"/>
  <c r="A28" i="10"/>
  <c r="A61" i="10"/>
  <c r="J10" i="10"/>
  <c r="I10" i="10"/>
  <c r="H10" i="10"/>
  <c r="E10" i="10"/>
  <c r="F10" i="10"/>
  <c r="D10" i="10"/>
  <c r="C10" i="10"/>
  <c r="B10" i="10"/>
  <c r="M10" i="10"/>
  <c r="L10" i="10"/>
  <c r="K10" i="10"/>
  <c r="G10" i="10"/>
  <c r="A120" i="10"/>
  <c r="A12" i="16"/>
  <c r="A189" i="8"/>
  <c r="A41" i="10"/>
  <c r="A11" i="10"/>
  <c r="A88" i="10"/>
  <c r="A58" i="10"/>
  <c r="A75" i="10"/>
  <c r="A189" i="10"/>
  <c r="A26" i="10"/>
  <c r="A142" i="10"/>
  <c r="A70" i="16"/>
  <c r="A45" i="7"/>
  <c r="A53" i="7"/>
  <c r="A136" i="7"/>
  <c r="A20" i="7"/>
  <c r="A46" i="7"/>
  <c r="A50" i="7"/>
  <c r="A155" i="7"/>
  <c r="A81" i="8"/>
  <c r="A73" i="8"/>
  <c r="H54" i="18"/>
  <c r="I54" i="18" s="1"/>
  <c r="G54" i="18"/>
  <c r="F54" i="18"/>
  <c r="E54" i="18"/>
  <c r="D54" i="18"/>
  <c r="C54" i="18"/>
  <c r="G103" i="18"/>
  <c r="F103" i="18"/>
  <c r="H103" i="18"/>
  <c r="I103" i="18" s="1"/>
  <c r="E103" i="18"/>
  <c r="D103" i="18"/>
  <c r="C103" i="18"/>
  <c r="G35" i="18"/>
  <c r="F35" i="18"/>
  <c r="E35" i="18"/>
  <c r="D35" i="18"/>
  <c r="C35" i="18"/>
  <c r="H35" i="18"/>
  <c r="I35" i="18" s="1"/>
  <c r="A192" i="8"/>
  <c r="A129" i="9"/>
  <c r="A144" i="9"/>
  <c r="A67" i="9"/>
  <c r="A83" i="9"/>
  <c r="A184" i="8"/>
  <c r="H78" i="17"/>
  <c r="I78" i="17" s="1"/>
  <c r="E78" i="17"/>
  <c r="D78" i="17"/>
  <c r="G78" i="17"/>
  <c r="F78" i="17"/>
  <c r="C78" i="17"/>
  <c r="F63" i="17"/>
  <c r="D63" i="17"/>
  <c r="C63" i="17"/>
  <c r="H63" i="17"/>
  <c r="I63" i="17" s="1"/>
  <c r="G63" i="17"/>
  <c r="E63" i="17"/>
  <c r="H52" i="17"/>
  <c r="I52" i="17" s="1"/>
  <c r="E52" i="17"/>
  <c r="C52" i="17"/>
  <c r="G52" i="17"/>
  <c r="F52" i="17"/>
  <c r="D52" i="17"/>
  <c r="G59" i="17"/>
  <c r="F59" i="17"/>
  <c r="E59" i="17"/>
  <c r="D59" i="17"/>
  <c r="H59" i="17"/>
  <c r="I59" i="17" s="1"/>
  <c r="C59" i="17"/>
  <c r="A53" i="8"/>
  <c r="A103" i="8"/>
  <c r="A39" i="18"/>
  <c r="A79" i="9"/>
  <c r="A73" i="9"/>
  <c r="A86" i="16"/>
  <c r="A14" i="10"/>
  <c r="A21" i="10"/>
  <c r="A119" i="10"/>
  <c r="A118" i="7"/>
  <c r="A137" i="8"/>
  <c r="A12" i="8"/>
  <c r="A142" i="9"/>
  <c r="A95" i="10"/>
  <c r="A6" i="10"/>
  <c r="A103" i="10"/>
  <c r="A134" i="8"/>
  <c r="A79" i="7"/>
  <c r="A38" i="8"/>
  <c r="A74" i="18"/>
  <c r="A92" i="9"/>
  <c r="A143" i="9"/>
  <c r="A180" i="9"/>
  <c r="H30" i="17"/>
  <c r="I30" i="17" s="1"/>
  <c r="C30" i="17"/>
  <c r="F30" i="17"/>
  <c r="E30" i="17"/>
  <c r="D30" i="17"/>
  <c r="G30" i="17"/>
  <c r="A127" i="10"/>
  <c r="A182" i="10"/>
  <c r="A199" i="10"/>
  <c r="A146" i="10"/>
  <c r="A31" i="10"/>
  <c r="A93" i="10"/>
  <c r="A121" i="10"/>
  <c r="A76" i="10"/>
  <c r="A177" i="10"/>
  <c r="A38" i="10"/>
  <c r="A64" i="10"/>
  <c r="A90" i="10"/>
  <c r="A132" i="10"/>
  <c r="A136" i="10"/>
  <c r="A78" i="16"/>
  <c r="A16" i="16"/>
  <c r="A56" i="16"/>
  <c r="A28" i="16"/>
  <c r="A102" i="16"/>
  <c r="A154" i="7"/>
  <c r="A112" i="7"/>
  <c r="A153" i="7"/>
  <c r="A120" i="7"/>
  <c r="A29" i="7"/>
  <c r="A94" i="7"/>
  <c r="A12" i="7"/>
  <c r="A173" i="7"/>
  <c r="A60" i="7"/>
  <c r="A128" i="8"/>
  <c r="A58" i="18"/>
  <c r="A5" i="18"/>
  <c r="A93" i="18"/>
  <c r="A46" i="18"/>
  <c r="A52" i="8"/>
  <c r="A77" i="9"/>
  <c r="A14" i="9"/>
  <c r="A198" i="9"/>
  <c r="A107" i="9"/>
  <c r="A40" i="9"/>
  <c r="A158" i="9"/>
  <c r="A42" i="9"/>
  <c r="A39" i="9"/>
  <c r="A109" i="9"/>
  <c r="A143" i="8"/>
  <c r="G53" i="17"/>
  <c r="F53" i="17"/>
  <c r="H53" i="17"/>
  <c r="I53" i="17" s="1"/>
  <c r="E53" i="17"/>
  <c r="C53" i="17"/>
  <c r="D53" i="17"/>
  <c r="H18" i="17"/>
  <c r="I18" i="17" s="1"/>
  <c r="C18" i="17"/>
  <c r="G18" i="17"/>
  <c r="D18" i="17"/>
  <c r="E18" i="17"/>
  <c r="F18" i="17"/>
  <c r="H25" i="17"/>
  <c r="I25" i="17" s="1"/>
  <c r="G25" i="17"/>
  <c r="C25" i="17"/>
  <c r="D25" i="17"/>
  <c r="F25" i="17"/>
  <c r="E25" i="17"/>
  <c r="A62" i="8"/>
  <c r="A119" i="8"/>
  <c r="H97" i="16"/>
  <c r="I97" i="16" s="1"/>
  <c r="G97" i="16"/>
  <c r="E97" i="16"/>
  <c r="F97" i="16"/>
  <c r="C97" i="16"/>
  <c r="D97" i="16"/>
  <c r="E18" i="7"/>
  <c r="D18" i="7"/>
  <c r="C18" i="7"/>
  <c r="G18" i="7"/>
  <c r="F18" i="7"/>
  <c r="B18" i="7"/>
  <c r="M18" i="7"/>
  <c r="L18" i="7"/>
  <c r="K18" i="7"/>
  <c r="J18" i="7"/>
  <c r="H18" i="7"/>
  <c r="N185" i="10"/>
  <c r="O185" i="10" s="1"/>
  <c r="L185" i="10"/>
  <c r="J185" i="10"/>
  <c r="I185" i="10"/>
  <c r="H185" i="10"/>
  <c r="G185" i="10"/>
  <c r="E185" i="10"/>
  <c r="C185" i="10"/>
  <c r="B185" i="10"/>
  <c r="K185" i="10"/>
  <c r="M185" i="10"/>
  <c r="F185" i="10"/>
  <c r="D185" i="10"/>
  <c r="D70" i="8"/>
  <c r="C70" i="8"/>
  <c r="H70" i="8"/>
  <c r="M70" i="8"/>
  <c r="N70" i="8" s="1"/>
  <c r="L70" i="8"/>
  <c r="K70" i="8"/>
  <c r="L33" i="7"/>
  <c r="K33" i="7"/>
  <c r="D33" i="7"/>
  <c r="C33" i="7"/>
  <c r="B33" i="7"/>
  <c r="J33" i="7"/>
  <c r="E33" i="7"/>
  <c r="I33" i="7"/>
  <c r="H33" i="7"/>
  <c r="G33" i="7"/>
  <c r="F33" i="7"/>
  <c r="M33" i="7"/>
  <c r="K144" i="10"/>
  <c r="J144" i="10"/>
  <c r="I144" i="10"/>
  <c r="F144" i="10"/>
  <c r="E144" i="10"/>
  <c r="L144" i="10"/>
  <c r="H144" i="10"/>
  <c r="G144" i="10"/>
  <c r="D144" i="10"/>
  <c r="B144" i="10"/>
  <c r="N144" i="10"/>
  <c r="O144" i="10" s="1"/>
  <c r="M144" i="10"/>
  <c r="C144" i="10"/>
  <c r="F176" i="10"/>
  <c r="E176" i="10"/>
  <c r="L176" i="10"/>
  <c r="H176" i="10"/>
  <c r="J176" i="10"/>
  <c r="I176" i="10"/>
  <c r="A11" i="7"/>
  <c r="A23" i="16"/>
  <c r="H64" i="18"/>
  <c r="I64" i="18" s="1"/>
  <c r="G64" i="18"/>
  <c r="F64" i="18"/>
  <c r="E64" i="18"/>
  <c r="D64" i="18"/>
  <c r="C64" i="18"/>
  <c r="A25" i="10"/>
  <c r="A72" i="10"/>
  <c r="K13" i="10"/>
  <c r="D13" i="10"/>
  <c r="C13" i="10"/>
  <c r="B13" i="10"/>
  <c r="M13" i="10"/>
  <c r="L13" i="10"/>
  <c r="I13" i="10"/>
  <c r="H13" i="10"/>
  <c r="G13" i="10"/>
  <c r="E13" i="10"/>
  <c r="F13" i="10"/>
  <c r="J13" i="10"/>
  <c r="A150" i="10"/>
  <c r="A149" i="10"/>
  <c r="E4" i="10"/>
  <c r="M4" i="10"/>
  <c r="J4" i="10"/>
  <c r="B4" i="10"/>
  <c r="G4" i="10"/>
  <c r="F4" i="10"/>
  <c r="L4" i="10"/>
  <c r="C4" i="10"/>
  <c r="K4" i="10"/>
  <c r="H4" i="10"/>
  <c r="D4" i="10"/>
  <c r="A191" i="10"/>
  <c r="A94" i="10"/>
  <c r="A19" i="10"/>
  <c r="A45" i="10"/>
  <c r="A107" i="10"/>
  <c r="A10" i="16"/>
  <c r="A54" i="7"/>
  <c r="A43" i="7"/>
  <c r="A61" i="7"/>
  <c r="A108" i="7"/>
  <c r="A57" i="8"/>
  <c r="G81" i="18"/>
  <c r="F81" i="18"/>
  <c r="H81" i="18"/>
  <c r="I81" i="18" s="1"/>
  <c r="D81" i="18"/>
  <c r="E81" i="18"/>
  <c r="C81" i="18"/>
  <c r="A115" i="10"/>
  <c r="A23" i="10"/>
  <c r="A138" i="10"/>
  <c r="A161" i="10"/>
  <c r="A40" i="16"/>
  <c r="A78" i="10"/>
  <c r="A151" i="10"/>
  <c r="A153" i="10"/>
  <c r="A13" i="8"/>
  <c r="A69" i="7"/>
  <c r="A193" i="7"/>
  <c r="A27" i="7"/>
  <c r="A77" i="7"/>
  <c r="A117" i="7"/>
  <c r="A130" i="8"/>
  <c r="A152" i="10"/>
  <c r="A12" i="10"/>
  <c r="A192" i="10"/>
  <c r="A59" i="10"/>
  <c r="A76" i="7"/>
  <c r="A74" i="7"/>
  <c r="A79" i="18"/>
  <c r="A45" i="8"/>
  <c r="A7" i="10"/>
  <c r="A104" i="7"/>
  <c r="A178" i="7"/>
  <c r="A141" i="10"/>
  <c r="A35" i="10"/>
  <c r="A124" i="10"/>
  <c r="A33" i="10"/>
  <c r="A22" i="10"/>
  <c r="A180" i="7"/>
  <c r="A65" i="16"/>
  <c r="A16" i="9"/>
  <c r="A118" i="10"/>
  <c r="A162" i="10"/>
  <c r="A201" i="10"/>
  <c r="A97" i="18"/>
  <c r="A110" i="9"/>
  <c r="A9" i="9"/>
  <c r="A60" i="8"/>
  <c r="A56" i="10"/>
  <c r="A36" i="10"/>
  <c r="A81" i="10"/>
  <c r="A138" i="8"/>
  <c r="A114" i="7"/>
  <c r="A170" i="7"/>
  <c r="A183" i="7"/>
  <c r="A22" i="9"/>
  <c r="A188" i="10"/>
  <c r="A74" i="10"/>
  <c r="A85" i="16"/>
  <c r="A142" i="7"/>
  <c r="A130" i="7"/>
  <c r="A45" i="16"/>
  <c r="A34" i="18"/>
  <c r="A44" i="9"/>
  <c r="A130" i="9"/>
  <c r="A181" i="8"/>
  <c r="A114" i="8"/>
  <c r="A100" i="10"/>
  <c r="A87" i="10"/>
  <c r="A32" i="10"/>
  <c r="A9" i="10"/>
  <c r="A62" i="10"/>
  <c r="A145" i="10"/>
  <c r="A42" i="10"/>
  <c r="A203" i="10"/>
  <c r="A66" i="10"/>
  <c r="A96" i="10"/>
  <c r="A101" i="10"/>
  <c r="A143" i="10"/>
  <c r="A99" i="16"/>
  <c r="A84" i="8"/>
  <c r="A150" i="8"/>
  <c r="A37" i="16"/>
  <c r="A6" i="16"/>
  <c r="A157" i="7"/>
  <c r="A132" i="7"/>
  <c r="A179" i="7"/>
  <c r="A152" i="7"/>
  <c r="A24" i="7"/>
  <c r="A147" i="7"/>
  <c r="A25" i="7"/>
  <c r="A184" i="7"/>
  <c r="A39" i="16"/>
  <c r="A148" i="8"/>
  <c r="A28" i="8"/>
  <c r="A82" i="18"/>
  <c r="A28" i="18"/>
  <c r="F15" i="18"/>
  <c r="D15" i="18"/>
  <c r="C15" i="18"/>
  <c r="E15" i="18"/>
  <c r="G15" i="18"/>
  <c r="A87" i="16"/>
  <c r="A120" i="9"/>
  <c r="A68" i="9"/>
  <c r="A70" i="9"/>
  <c r="A151" i="9"/>
  <c r="A80" i="9"/>
  <c r="A160" i="9"/>
  <c r="A46" i="9"/>
  <c r="A76" i="9"/>
  <c r="K11" i="8"/>
  <c r="H11" i="8"/>
  <c r="G11" i="8"/>
  <c r="D11" i="8"/>
  <c r="C11" i="8"/>
  <c r="B11" i="8"/>
  <c r="I11" i="8"/>
  <c r="L11" i="8"/>
  <c r="J11" i="8"/>
  <c r="H27" i="17"/>
  <c r="I27" i="17" s="1"/>
  <c r="G27" i="17"/>
  <c r="F27" i="17"/>
  <c r="E27" i="17"/>
  <c r="C27" i="17"/>
  <c r="D27" i="17"/>
  <c r="D47" i="17"/>
  <c r="H62" i="17"/>
  <c r="I62" i="17" s="1"/>
  <c r="E62" i="17"/>
  <c r="G62" i="17"/>
  <c r="D62" i="17"/>
  <c r="C62" i="17"/>
  <c r="F62" i="17"/>
  <c r="H38" i="17"/>
  <c r="I38" i="17" s="1"/>
  <c r="G38" i="17"/>
  <c r="C38" i="17"/>
  <c r="E38" i="17"/>
  <c r="D38" i="17"/>
  <c r="F38" i="17"/>
  <c r="E17" i="17"/>
  <c r="D17" i="17"/>
  <c r="C17" i="17"/>
  <c r="H17" i="17"/>
  <c r="I17" i="17" s="1"/>
  <c r="G17" i="17"/>
  <c r="F17" i="17"/>
  <c r="A30" i="8"/>
  <c r="A69" i="16"/>
  <c r="L56" i="7" l="1"/>
  <c r="K150" i="7"/>
  <c r="E42" i="7"/>
  <c r="N42" i="7" s="1"/>
  <c r="B42" i="7"/>
  <c r="M150" i="7"/>
  <c r="M116" i="8"/>
  <c r="N116" i="8" s="1"/>
  <c r="D116" i="8"/>
  <c r="M15" i="8"/>
  <c r="I116" i="8"/>
  <c r="F194" i="10"/>
  <c r="E169" i="10"/>
  <c r="E49" i="10"/>
  <c r="D83" i="10"/>
  <c r="G128" i="10"/>
  <c r="G198" i="10"/>
  <c r="F37" i="10"/>
  <c r="I194" i="10"/>
  <c r="C49" i="10"/>
  <c r="F83" i="10"/>
  <c r="M128" i="10"/>
  <c r="G37" i="10"/>
  <c r="H194" i="10"/>
  <c r="H169" i="10"/>
  <c r="H49" i="10"/>
  <c r="J83" i="10"/>
  <c r="J128" i="10"/>
  <c r="M198" i="10"/>
  <c r="L37" i="10"/>
  <c r="N5" i="10"/>
  <c r="E89" i="10"/>
  <c r="G90" i="16"/>
  <c r="C90" i="16"/>
  <c r="E94" i="16"/>
  <c r="H47" i="17"/>
  <c r="I47" i="17" s="1"/>
  <c r="D99" i="17"/>
  <c r="H64" i="17"/>
  <c r="I64" i="17" s="1"/>
  <c r="C24" i="17"/>
  <c r="D29" i="17"/>
  <c r="F43" i="17"/>
  <c r="G75" i="17"/>
  <c r="F15" i="17"/>
  <c r="F24" i="17"/>
  <c r="G29" i="17"/>
  <c r="D23" i="17"/>
  <c r="G91" i="17"/>
  <c r="C69" i="17"/>
  <c r="H87" i="17"/>
  <c r="I87" i="17" s="1"/>
  <c r="H15" i="17"/>
  <c r="I15" i="17" s="1"/>
  <c r="E5" i="17"/>
  <c r="E39" i="17"/>
  <c r="H23" i="17"/>
  <c r="I23" i="17" s="1"/>
  <c r="G11" i="17"/>
  <c r="F91" i="17"/>
  <c r="F69" i="17"/>
  <c r="H12" i="18"/>
  <c r="H13" i="18"/>
  <c r="H6" i="18"/>
  <c r="F47" i="17"/>
  <c r="D87" i="17"/>
  <c r="E99" i="17"/>
  <c r="G99" i="17"/>
  <c r="G15" i="17"/>
  <c r="D67" i="17"/>
  <c r="G67" i="17"/>
  <c r="D5" i="17"/>
  <c r="G5" i="17"/>
  <c r="C64" i="17"/>
  <c r="D24" i="17"/>
  <c r="H24" i="17"/>
  <c r="I24" i="17" s="1"/>
  <c r="E29" i="17"/>
  <c r="H29" i="17"/>
  <c r="I29" i="17" s="1"/>
  <c r="C43" i="17"/>
  <c r="F39" i="17"/>
  <c r="D75" i="17"/>
  <c r="C75" i="17"/>
  <c r="E23" i="17"/>
  <c r="C11" i="17"/>
  <c r="H11" i="17" s="1"/>
  <c r="H91" i="17"/>
  <c r="I91" i="17" s="1"/>
  <c r="D69" i="17"/>
  <c r="D54" i="17"/>
  <c r="E54" i="17"/>
  <c r="C94" i="16"/>
  <c r="F94" i="16"/>
  <c r="E47" i="17"/>
  <c r="F87" i="17"/>
  <c r="E87" i="17"/>
  <c r="F99" i="17"/>
  <c r="H99" i="17"/>
  <c r="I99" i="17" s="1"/>
  <c r="D15" i="17"/>
  <c r="E67" i="17"/>
  <c r="H67" i="17"/>
  <c r="I67" i="17" s="1"/>
  <c r="C5" i="17"/>
  <c r="D64" i="17"/>
  <c r="E24" i="17"/>
  <c r="C29" i="17"/>
  <c r="D43" i="17"/>
  <c r="H39" i="17"/>
  <c r="I39" i="17" s="1"/>
  <c r="D39" i="17"/>
  <c r="E75" i="17"/>
  <c r="H75" i="17"/>
  <c r="I75" i="17" s="1"/>
  <c r="F23" i="17"/>
  <c r="D11" i="17"/>
  <c r="D91" i="17"/>
  <c r="G69" i="17"/>
  <c r="C54" i="17"/>
  <c r="H54" i="17"/>
  <c r="I54" i="17" s="1"/>
  <c r="H94" i="16"/>
  <c r="I94" i="16" s="1"/>
  <c r="G94" i="16"/>
  <c r="C47" i="17"/>
  <c r="G87" i="17"/>
  <c r="C15" i="17"/>
  <c r="G64" i="17"/>
  <c r="G43" i="17"/>
  <c r="G39" i="17"/>
  <c r="C23" i="17"/>
  <c r="C91" i="17"/>
  <c r="H69" i="17"/>
  <c r="I69" i="17" s="1"/>
  <c r="H15" i="18"/>
  <c r="I15" i="18" s="1"/>
  <c r="H7" i="17"/>
  <c r="H10" i="17"/>
  <c r="H12" i="17"/>
  <c r="H9" i="17"/>
  <c r="H8" i="17"/>
  <c r="H6" i="17"/>
  <c r="H4" i="17"/>
  <c r="H13" i="17"/>
  <c r="I13" i="17" s="1"/>
  <c r="H11" i="16"/>
  <c r="H5" i="16"/>
  <c r="J116" i="8"/>
  <c r="H116" i="8"/>
  <c r="G116" i="8"/>
  <c r="K116" i="8"/>
  <c r="C116" i="8"/>
  <c r="M37" i="8"/>
  <c r="L116" i="8"/>
  <c r="N7" i="7"/>
  <c r="N14" i="7"/>
  <c r="N17" i="7"/>
  <c r="N4" i="7"/>
  <c r="F89" i="10"/>
  <c r="H56" i="7"/>
  <c r="F150" i="7"/>
  <c r="L89" i="10"/>
  <c r="E56" i="7"/>
  <c r="L150" i="7"/>
  <c r="G150" i="7"/>
  <c r="J194" i="10"/>
  <c r="M169" i="10"/>
  <c r="F169" i="10"/>
  <c r="F49" i="10"/>
  <c r="I49" i="10"/>
  <c r="M49" i="10"/>
  <c r="G83" i="10"/>
  <c r="M83" i="10"/>
  <c r="B83" i="10"/>
  <c r="D198" i="10"/>
  <c r="L198" i="10"/>
  <c r="H198" i="10"/>
  <c r="D37" i="10"/>
  <c r="H37" i="10"/>
  <c r="I37" i="10"/>
  <c r="I89" i="10"/>
  <c r="G89" i="10"/>
  <c r="N89" i="10"/>
  <c r="O89" i="10" s="1"/>
  <c r="D176" i="10"/>
  <c r="K176" i="10"/>
  <c r="M176" i="10"/>
  <c r="G176" i="10"/>
  <c r="C194" i="10"/>
  <c r="N194" i="10"/>
  <c r="O194" i="10" s="1"/>
  <c r="L194" i="10"/>
  <c r="J169" i="10"/>
  <c r="N169" i="10"/>
  <c r="O169" i="10" s="1"/>
  <c r="B169" i="10"/>
  <c r="J49" i="10"/>
  <c r="K49" i="10"/>
  <c r="B49" i="10"/>
  <c r="L67" i="10"/>
  <c r="B67" i="10"/>
  <c r="N67" i="10"/>
  <c r="O67" i="10" s="1"/>
  <c r="H154" i="10"/>
  <c r="J154" i="10"/>
  <c r="F154" i="10"/>
  <c r="F157" i="10"/>
  <c r="E157" i="10"/>
  <c r="L157" i="10"/>
  <c r="B181" i="10"/>
  <c r="M181" i="10"/>
  <c r="I181" i="10"/>
  <c r="C83" i="10"/>
  <c r="N83" i="10"/>
  <c r="O83" i="10" s="1"/>
  <c r="K83" i="10"/>
  <c r="D128" i="10"/>
  <c r="K128" i="10"/>
  <c r="N198" i="10"/>
  <c r="O198" i="10" s="1"/>
  <c r="C198" i="10"/>
  <c r="B198" i="10"/>
  <c r="F198" i="10"/>
  <c r="E37" i="10"/>
  <c r="M37" i="10"/>
  <c r="J37" i="10"/>
  <c r="E86" i="10"/>
  <c r="G86" i="10"/>
  <c r="C86" i="10"/>
  <c r="I86" i="10"/>
  <c r="C89" i="10"/>
  <c r="H89" i="10"/>
  <c r="M89" i="10"/>
  <c r="B194" i="10"/>
  <c r="K194" i="10"/>
  <c r="N20" i="10"/>
  <c r="I169" i="10"/>
  <c r="N128" i="10"/>
  <c r="O128" i="10" s="1"/>
  <c r="F128" i="10"/>
  <c r="H128" i="10"/>
  <c r="C176" i="10"/>
  <c r="N176" i="10"/>
  <c r="O176" i="10" s="1"/>
  <c r="D194" i="10"/>
  <c r="E194" i="10"/>
  <c r="G194" i="10"/>
  <c r="G169" i="10"/>
  <c r="K169" i="10"/>
  <c r="D169" i="10"/>
  <c r="G49" i="10"/>
  <c r="N49" i="10"/>
  <c r="O49" i="10" s="1"/>
  <c r="D67" i="10"/>
  <c r="C67" i="10"/>
  <c r="M154" i="10"/>
  <c r="I154" i="10"/>
  <c r="N154" i="10"/>
  <c r="O154" i="10" s="1"/>
  <c r="B157" i="10"/>
  <c r="G157" i="10"/>
  <c r="J181" i="10"/>
  <c r="N181" i="10"/>
  <c r="O181" i="10" s="1"/>
  <c r="E83" i="10"/>
  <c r="H83" i="10"/>
  <c r="I128" i="10"/>
  <c r="B128" i="10"/>
  <c r="E128" i="10"/>
  <c r="J198" i="10"/>
  <c r="I198" i="10"/>
  <c r="C37" i="10"/>
  <c r="N37" i="10"/>
  <c r="O37" i="10" s="1"/>
  <c r="L86" i="10"/>
  <c r="J86" i="10"/>
  <c r="B89" i="10"/>
  <c r="D89" i="10"/>
  <c r="J89" i="10"/>
  <c r="N19" i="7"/>
  <c r="G56" i="7"/>
  <c r="M56" i="7"/>
  <c r="B56" i="7"/>
  <c r="J150" i="7"/>
  <c r="N150" i="7"/>
  <c r="O150" i="7" s="1"/>
  <c r="H150" i="7"/>
  <c r="N31" i="7"/>
  <c r="K56" i="7"/>
  <c r="F56" i="7"/>
  <c r="C42" i="7"/>
  <c r="J42" i="7"/>
  <c r="E150" i="7"/>
  <c r="D150" i="7"/>
  <c r="M41" i="8"/>
  <c r="M126" i="8"/>
  <c r="N126" i="8" s="1"/>
  <c r="M11" i="8"/>
  <c r="G70" i="8"/>
  <c r="J70" i="8"/>
  <c r="I126" i="8"/>
  <c r="J126" i="8"/>
  <c r="I70" i="8"/>
  <c r="M35" i="8"/>
  <c r="C126" i="8"/>
  <c r="G126" i="8"/>
  <c r="N18" i="7"/>
  <c r="N13" i="10"/>
  <c r="N33" i="7"/>
  <c r="N10" i="7"/>
  <c r="G131" i="9"/>
  <c r="F131" i="9"/>
  <c r="L197" i="9"/>
  <c r="I197" i="9"/>
  <c r="E197" i="9"/>
  <c r="J131" i="9"/>
  <c r="L131" i="9"/>
  <c r="G197" i="9"/>
  <c r="J197" i="9"/>
  <c r="B131" i="9"/>
  <c r="K131" i="9"/>
  <c r="M11" i="9"/>
  <c r="M5" i="9"/>
  <c r="M20" i="9"/>
  <c r="H4" i="16"/>
  <c r="N4" i="10"/>
  <c r="N15" i="10"/>
  <c r="N10" i="10"/>
  <c r="N8" i="10"/>
  <c r="B115" i="8"/>
  <c r="H115" i="8"/>
  <c r="M115" i="8"/>
  <c r="N115" i="8" s="1"/>
  <c r="L115" i="8"/>
  <c r="K115" i="8"/>
  <c r="I115" i="8"/>
  <c r="G115" i="8"/>
  <c r="D115" i="8"/>
  <c r="J115" i="8"/>
  <c r="C115" i="8"/>
  <c r="M103" i="9"/>
  <c r="N103" i="9" s="1"/>
  <c r="I103" i="9"/>
  <c r="G103" i="9"/>
  <c r="F103" i="9"/>
  <c r="E103" i="9"/>
  <c r="B103" i="9"/>
  <c r="L103" i="9"/>
  <c r="K103" i="9"/>
  <c r="J103" i="9"/>
  <c r="H103" i="9"/>
  <c r="M81" i="7"/>
  <c r="L81" i="7"/>
  <c r="K81" i="7"/>
  <c r="H81" i="7"/>
  <c r="G81" i="7"/>
  <c r="N81" i="7"/>
  <c r="O81" i="7" s="1"/>
  <c r="I81" i="7"/>
  <c r="J81" i="7"/>
  <c r="F81" i="7"/>
  <c r="E81" i="7"/>
  <c r="C81" i="7"/>
  <c r="D81" i="7"/>
  <c r="B81" i="7"/>
  <c r="M173" i="9"/>
  <c r="N173" i="9" s="1"/>
  <c r="K173" i="9"/>
  <c r="B173" i="9"/>
  <c r="J173" i="9"/>
  <c r="L173" i="9"/>
  <c r="I173" i="9"/>
  <c r="H173" i="9"/>
  <c r="G173" i="9"/>
  <c r="F173" i="9"/>
  <c r="E173" i="9"/>
  <c r="B60" i="9"/>
  <c r="M60" i="9"/>
  <c r="N60" i="9" s="1"/>
  <c r="L60" i="9"/>
  <c r="K60" i="9"/>
  <c r="J60" i="9"/>
  <c r="H60" i="9"/>
  <c r="I60" i="9"/>
  <c r="G60" i="9"/>
  <c r="F60" i="9"/>
  <c r="E60" i="9"/>
  <c r="G101" i="18"/>
  <c r="F101" i="18"/>
  <c r="H101" i="18"/>
  <c r="I101" i="18" s="1"/>
  <c r="E101" i="18"/>
  <c r="C101" i="18"/>
  <c r="D101" i="18"/>
  <c r="E60" i="10"/>
  <c r="D60" i="10"/>
  <c r="N60" i="10"/>
  <c r="O60" i="10" s="1"/>
  <c r="G60" i="10"/>
  <c r="F60" i="10"/>
  <c r="C60" i="10"/>
  <c r="B60" i="10"/>
  <c r="M60" i="10"/>
  <c r="J60" i="10"/>
  <c r="I60" i="10"/>
  <c r="K60" i="10"/>
  <c r="H60" i="10"/>
  <c r="L60" i="10"/>
  <c r="G45" i="18"/>
  <c r="F45" i="18"/>
  <c r="D45" i="18"/>
  <c r="C45" i="18"/>
  <c r="E45" i="18"/>
  <c r="H45" i="18"/>
  <c r="I45" i="18" s="1"/>
  <c r="C105" i="8"/>
  <c r="J105" i="8"/>
  <c r="D105" i="8"/>
  <c r="I105" i="8"/>
  <c r="H105" i="8"/>
  <c r="G105" i="8"/>
  <c r="B105" i="8"/>
  <c r="L105" i="8"/>
  <c r="K105" i="8"/>
  <c r="M105" i="8"/>
  <c r="N105" i="8" s="1"/>
  <c r="D173" i="8"/>
  <c r="C173" i="8"/>
  <c r="J173" i="8"/>
  <c r="I173" i="8"/>
  <c r="H173" i="8"/>
  <c r="G173" i="8"/>
  <c r="M173" i="8"/>
  <c r="N173" i="8" s="1"/>
  <c r="B173" i="8"/>
  <c r="L173" i="8"/>
  <c r="K173" i="8"/>
  <c r="I9" i="8"/>
  <c r="H9" i="8"/>
  <c r="D9" i="8"/>
  <c r="G9" i="8"/>
  <c r="C9" i="8"/>
  <c r="B9" i="8"/>
  <c r="L9" i="8"/>
  <c r="J9" i="8"/>
  <c r="K9" i="8"/>
  <c r="C54" i="10"/>
  <c r="B54" i="10"/>
  <c r="H54" i="10"/>
  <c r="G54" i="10"/>
  <c r="F54" i="10"/>
  <c r="E54" i="10"/>
  <c r="J54" i="10"/>
  <c r="I54" i="10"/>
  <c r="D54" i="10"/>
  <c r="N54" i="10"/>
  <c r="O54" i="10" s="1"/>
  <c r="K54" i="10"/>
  <c r="M54" i="10"/>
  <c r="L54" i="10"/>
  <c r="B130" i="10"/>
  <c r="E130" i="10"/>
  <c r="D130" i="10"/>
  <c r="C130" i="10"/>
  <c r="F130" i="10"/>
  <c r="H130" i="10"/>
  <c r="G130" i="10"/>
  <c r="M130" i="10"/>
  <c r="L130" i="10"/>
  <c r="K130" i="10"/>
  <c r="I130" i="10"/>
  <c r="N130" i="10"/>
  <c r="O130" i="10" s="1"/>
  <c r="J130" i="10"/>
  <c r="G192" i="9"/>
  <c r="F192" i="9"/>
  <c r="E192" i="9"/>
  <c r="L192" i="9"/>
  <c r="K192" i="9"/>
  <c r="M192" i="9"/>
  <c r="N192" i="9" s="1"/>
  <c r="H192" i="9"/>
  <c r="J192" i="9"/>
  <c r="I192" i="9"/>
  <c r="B192" i="9"/>
  <c r="F69" i="9"/>
  <c r="M69" i="9"/>
  <c r="N69" i="9" s="1"/>
  <c r="L69" i="9"/>
  <c r="K69" i="9"/>
  <c r="J69" i="9"/>
  <c r="H69" i="9"/>
  <c r="I69" i="9"/>
  <c r="G69" i="9"/>
  <c r="E69" i="9"/>
  <c r="B69" i="9"/>
  <c r="I202" i="9"/>
  <c r="H202" i="9"/>
  <c r="G202" i="9"/>
  <c r="F202" i="9"/>
  <c r="M202" i="9"/>
  <c r="L202" i="9"/>
  <c r="K202" i="9"/>
  <c r="J202" i="9"/>
  <c r="E202" i="9"/>
  <c r="B202" i="9"/>
  <c r="N202" i="9"/>
  <c r="E148" i="10"/>
  <c r="D148" i="10"/>
  <c r="C148" i="10"/>
  <c r="L148" i="10"/>
  <c r="K148" i="10"/>
  <c r="G148" i="10"/>
  <c r="N148" i="10"/>
  <c r="O148" i="10" s="1"/>
  <c r="M148" i="10"/>
  <c r="I148" i="10"/>
  <c r="F148" i="10"/>
  <c r="B148" i="10"/>
  <c r="J148" i="10"/>
  <c r="H148" i="10"/>
  <c r="L118" i="8"/>
  <c r="D118" i="8"/>
  <c r="C118" i="8"/>
  <c r="B118" i="8"/>
  <c r="J118" i="8"/>
  <c r="G118" i="8"/>
  <c r="K118" i="8"/>
  <c r="I118" i="8"/>
  <c r="H118" i="8"/>
  <c r="M118" i="8"/>
  <c r="N118" i="8" s="1"/>
  <c r="M102" i="10"/>
  <c r="N102" i="10"/>
  <c r="O102" i="10" s="1"/>
  <c r="L102" i="10"/>
  <c r="H102" i="10"/>
  <c r="I102" i="10"/>
  <c r="G102" i="10"/>
  <c r="F102" i="10"/>
  <c r="E102" i="10"/>
  <c r="C102" i="10"/>
  <c r="K102" i="10"/>
  <c r="J102" i="10"/>
  <c r="D102" i="10"/>
  <c r="B102" i="10"/>
  <c r="K178" i="9"/>
  <c r="J178" i="9"/>
  <c r="I178" i="9"/>
  <c r="H178" i="9"/>
  <c r="E178" i="9"/>
  <c r="B178" i="9"/>
  <c r="M178" i="9"/>
  <c r="N178" i="9" s="1"/>
  <c r="L178" i="9"/>
  <c r="G178" i="9"/>
  <c r="F178" i="9"/>
  <c r="L159" i="9"/>
  <c r="K159" i="9"/>
  <c r="I159" i="9"/>
  <c r="G159" i="9"/>
  <c r="B159" i="9"/>
  <c r="M159" i="9"/>
  <c r="N159" i="9" s="1"/>
  <c r="J159" i="9"/>
  <c r="F159" i="9"/>
  <c r="H159" i="9"/>
  <c r="E159" i="9"/>
  <c r="G35" i="7"/>
  <c r="F35" i="7"/>
  <c r="E35" i="7"/>
  <c r="B35" i="7"/>
  <c r="D35" i="7"/>
  <c r="C35" i="7"/>
  <c r="H35" i="7"/>
  <c r="I35" i="7"/>
  <c r="M35" i="7"/>
  <c r="J35" i="7"/>
  <c r="L35" i="7"/>
  <c r="K35" i="7"/>
  <c r="F35" i="9"/>
  <c r="E35" i="9"/>
  <c r="B35" i="9"/>
  <c r="M35" i="9"/>
  <c r="N35" i="9" s="1"/>
  <c r="L35" i="9"/>
  <c r="J35" i="9"/>
  <c r="K35" i="9"/>
  <c r="H35" i="9"/>
  <c r="G35" i="9"/>
  <c r="I35" i="9"/>
  <c r="G133" i="7"/>
  <c r="F133" i="7"/>
  <c r="E133" i="7"/>
  <c r="D133" i="7"/>
  <c r="B133" i="7"/>
  <c r="H133" i="7"/>
  <c r="C133" i="7"/>
  <c r="N133" i="7"/>
  <c r="O133" i="7" s="1"/>
  <c r="M133" i="7"/>
  <c r="L133" i="7"/>
  <c r="K133" i="7"/>
  <c r="J133" i="7"/>
  <c r="I133" i="7"/>
  <c r="G75" i="9"/>
  <c r="M75" i="9"/>
  <c r="N75" i="9" s="1"/>
  <c r="B75" i="9"/>
  <c r="L75" i="9"/>
  <c r="K75" i="9"/>
  <c r="I75" i="9"/>
  <c r="E75" i="9"/>
  <c r="F75" i="9"/>
  <c r="J75" i="9"/>
  <c r="H75" i="9"/>
  <c r="L27" i="8"/>
  <c r="J27" i="8"/>
  <c r="I27" i="8"/>
  <c r="K27" i="8"/>
  <c r="G27" i="8"/>
  <c r="D27" i="8"/>
  <c r="C27" i="8"/>
  <c r="B27" i="8"/>
  <c r="H27" i="8"/>
  <c r="G48" i="16"/>
  <c r="H48" i="16"/>
  <c r="I48" i="16" s="1"/>
  <c r="F48" i="16"/>
  <c r="E48" i="16"/>
  <c r="C48" i="16"/>
  <c r="D48" i="16"/>
  <c r="C168" i="8"/>
  <c r="B168" i="8"/>
  <c r="M168" i="8"/>
  <c r="N168" i="8" s="1"/>
  <c r="L168" i="8"/>
  <c r="K168" i="8"/>
  <c r="J168" i="8"/>
  <c r="I168" i="8"/>
  <c r="H168" i="8"/>
  <c r="G168" i="8"/>
  <c r="D168" i="8"/>
  <c r="G162" i="9"/>
  <c r="E162" i="9"/>
  <c r="B162" i="9"/>
  <c r="M162" i="9"/>
  <c r="N162" i="9" s="1"/>
  <c r="L162" i="9"/>
  <c r="J162" i="9"/>
  <c r="I162" i="9"/>
  <c r="H162" i="9"/>
  <c r="K162" i="9"/>
  <c r="F162" i="9"/>
  <c r="B181" i="8"/>
  <c r="K181" i="8"/>
  <c r="J181" i="8"/>
  <c r="I181" i="8"/>
  <c r="H181" i="8"/>
  <c r="M181" i="8"/>
  <c r="N181" i="8" s="1"/>
  <c r="L181" i="8"/>
  <c r="G181" i="8"/>
  <c r="C181" i="8"/>
  <c r="D181" i="8"/>
  <c r="K130" i="8"/>
  <c r="J130" i="8"/>
  <c r="I130" i="8"/>
  <c r="H130" i="8"/>
  <c r="G130" i="8"/>
  <c r="D130" i="8"/>
  <c r="M130" i="8"/>
  <c r="N130" i="8" s="1"/>
  <c r="L130" i="8"/>
  <c r="B130" i="8"/>
  <c r="C130" i="8"/>
  <c r="L57" i="8"/>
  <c r="K57" i="8"/>
  <c r="M57" i="8"/>
  <c r="N57" i="8" s="1"/>
  <c r="G57" i="8"/>
  <c r="B57" i="8"/>
  <c r="D57" i="8"/>
  <c r="C57" i="8"/>
  <c r="I57" i="8"/>
  <c r="J57" i="8"/>
  <c r="H57" i="8"/>
  <c r="M103" i="10"/>
  <c r="K103" i="10"/>
  <c r="J103" i="10"/>
  <c r="I103" i="10"/>
  <c r="H103" i="10"/>
  <c r="F103" i="10"/>
  <c r="N103" i="10"/>
  <c r="O103" i="10" s="1"/>
  <c r="L103" i="10"/>
  <c r="G103" i="10"/>
  <c r="E103" i="10"/>
  <c r="B103" i="10"/>
  <c r="D103" i="10"/>
  <c r="C103" i="10"/>
  <c r="L184" i="8"/>
  <c r="M184" i="8"/>
  <c r="N184" i="8" s="1"/>
  <c r="K184" i="8"/>
  <c r="J184" i="8"/>
  <c r="I184" i="8"/>
  <c r="C184" i="8"/>
  <c r="G184" i="8"/>
  <c r="D184" i="8"/>
  <c r="B184" i="8"/>
  <c r="H184" i="8"/>
  <c r="L41" i="10"/>
  <c r="N41" i="10"/>
  <c r="O41" i="10" s="1"/>
  <c r="M41" i="10"/>
  <c r="J41" i="10"/>
  <c r="K41" i="10"/>
  <c r="I41" i="10"/>
  <c r="H41" i="10"/>
  <c r="G41" i="10"/>
  <c r="E41" i="10"/>
  <c r="C41" i="10"/>
  <c r="B41" i="10"/>
  <c r="F41" i="10"/>
  <c r="D41" i="10"/>
  <c r="M194" i="9"/>
  <c r="N194" i="9" s="1"/>
  <c r="L194" i="9"/>
  <c r="K194" i="9"/>
  <c r="J194" i="9"/>
  <c r="H194" i="9"/>
  <c r="G194" i="9"/>
  <c r="F194" i="9"/>
  <c r="I194" i="9"/>
  <c r="B194" i="9"/>
  <c r="E194" i="9"/>
  <c r="G57" i="18"/>
  <c r="F57" i="18"/>
  <c r="D57" i="18"/>
  <c r="C57" i="18"/>
  <c r="H57" i="18"/>
  <c r="I57" i="18" s="1"/>
  <c r="E57" i="18"/>
  <c r="F96" i="18"/>
  <c r="E96" i="18"/>
  <c r="D96" i="18"/>
  <c r="C96" i="18"/>
  <c r="G96" i="18"/>
  <c r="H96" i="18"/>
  <c r="I96" i="18" s="1"/>
  <c r="J38" i="9"/>
  <c r="I38" i="9"/>
  <c r="H38" i="9"/>
  <c r="G38" i="9"/>
  <c r="E38" i="9"/>
  <c r="B38" i="9"/>
  <c r="L38" i="9"/>
  <c r="K38" i="9"/>
  <c r="F38" i="9"/>
  <c r="M38" i="9"/>
  <c r="N38" i="9" s="1"/>
  <c r="D166" i="7"/>
  <c r="C166" i="7"/>
  <c r="B166" i="7"/>
  <c r="M166" i="7"/>
  <c r="L166" i="7"/>
  <c r="K166" i="7"/>
  <c r="J166" i="7"/>
  <c r="H166" i="7"/>
  <c r="N166" i="7"/>
  <c r="O166" i="7" s="1"/>
  <c r="G166" i="7"/>
  <c r="F166" i="7"/>
  <c r="E166" i="7"/>
  <c r="I166" i="7"/>
  <c r="C177" i="7"/>
  <c r="B177" i="7"/>
  <c r="H177" i="7"/>
  <c r="F177" i="7"/>
  <c r="E177" i="7"/>
  <c r="M177" i="7"/>
  <c r="N177" i="7"/>
  <c r="O177" i="7" s="1"/>
  <c r="I177" i="7"/>
  <c r="J177" i="7"/>
  <c r="D177" i="7"/>
  <c r="L177" i="7"/>
  <c r="K177" i="7"/>
  <c r="G177" i="7"/>
  <c r="G163" i="8"/>
  <c r="J163" i="8"/>
  <c r="L163" i="8"/>
  <c r="I163" i="8"/>
  <c r="M163" i="8"/>
  <c r="N163" i="8" s="1"/>
  <c r="K163" i="8"/>
  <c r="H163" i="8"/>
  <c r="B163" i="8"/>
  <c r="D163" i="8"/>
  <c r="C163" i="8"/>
  <c r="M116" i="9"/>
  <c r="N116" i="9" s="1"/>
  <c r="L116" i="9"/>
  <c r="J116" i="9"/>
  <c r="B116" i="9"/>
  <c r="G116" i="9"/>
  <c r="F116" i="9"/>
  <c r="E116" i="9"/>
  <c r="K116" i="9"/>
  <c r="H116" i="9"/>
  <c r="I116" i="9"/>
  <c r="G154" i="8"/>
  <c r="D154" i="8"/>
  <c r="J154" i="8"/>
  <c r="I154" i="8"/>
  <c r="C154" i="8"/>
  <c r="H154" i="8"/>
  <c r="B154" i="8"/>
  <c r="K154" i="8"/>
  <c r="L154" i="8"/>
  <c r="M154" i="8"/>
  <c r="N154" i="8" s="1"/>
  <c r="M152" i="9"/>
  <c r="N152" i="9" s="1"/>
  <c r="L152" i="9"/>
  <c r="K152" i="9"/>
  <c r="J152" i="9"/>
  <c r="F152" i="9"/>
  <c r="I152" i="9"/>
  <c r="H152" i="9"/>
  <c r="E152" i="9"/>
  <c r="B152" i="9"/>
  <c r="G152" i="9"/>
  <c r="G139" i="9"/>
  <c r="B139" i="9"/>
  <c r="M139" i="9"/>
  <c r="N139" i="9" s="1"/>
  <c r="F139" i="9"/>
  <c r="E139" i="9"/>
  <c r="J139" i="9"/>
  <c r="H139" i="9"/>
  <c r="L139" i="9"/>
  <c r="K139" i="9"/>
  <c r="I139" i="9"/>
  <c r="I93" i="9"/>
  <c r="G93" i="9"/>
  <c r="L93" i="9"/>
  <c r="B93" i="9"/>
  <c r="H93" i="9"/>
  <c r="F93" i="9"/>
  <c r="E93" i="9"/>
  <c r="J93" i="9"/>
  <c r="K93" i="9"/>
  <c r="M93" i="9"/>
  <c r="N93" i="9" s="1"/>
  <c r="C84" i="7"/>
  <c r="B84" i="7"/>
  <c r="N84" i="7"/>
  <c r="O84" i="7" s="1"/>
  <c r="M84" i="7"/>
  <c r="L84" i="7"/>
  <c r="J84" i="7"/>
  <c r="I84" i="7"/>
  <c r="K84" i="7"/>
  <c r="H84" i="7"/>
  <c r="E84" i="7"/>
  <c r="G84" i="7"/>
  <c r="D84" i="7"/>
  <c r="F84" i="7"/>
  <c r="K89" i="9"/>
  <c r="I89" i="9"/>
  <c r="G89" i="9"/>
  <c r="M89" i="9"/>
  <c r="N89" i="9" s="1"/>
  <c r="L89" i="9"/>
  <c r="J89" i="9"/>
  <c r="E89" i="9"/>
  <c r="H89" i="9"/>
  <c r="F89" i="9"/>
  <c r="B89" i="9"/>
  <c r="H122" i="7"/>
  <c r="G122" i="7"/>
  <c r="F122" i="7"/>
  <c r="E122" i="7"/>
  <c r="C122" i="7"/>
  <c r="N122" i="7"/>
  <c r="O122" i="7" s="1"/>
  <c r="L122" i="7"/>
  <c r="K122" i="7"/>
  <c r="I122" i="7"/>
  <c r="B122" i="7"/>
  <c r="J122" i="7"/>
  <c r="D122" i="7"/>
  <c r="M122" i="7"/>
  <c r="H53" i="16"/>
  <c r="I53" i="16" s="1"/>
  <c r="G53" i="16"/>
  <c r="F53" i="16"/>
  <c r="E53" i="16"/>
  <c r="D53" i="16"/>
  <c r="C53" i="16"/>
  <c r="J100" i="7"/>
  <c r="I100" i="7"/>
  <c r="H100" i="7"/>
  <c r="G100" i="7"/>
  <c r="E100" i="7"/>
  <c r="D100" i="7"/>
  <c r="B100" i="7"/>
  <c r="N100" i="7"/>
  <c r="O100" i="7" s="1"/>
  <c r="M100" i="7"/>
  <c r="L100" i="7"/>
  <c r="F100" i="7"/>
  <c r="C100" i="7"/>
  <c r="K100" i="7"/>
  <c r="H106" i="9"/>
  <c r="G106" i="9"/>
  <c r="F106" i="9"/>
  <c r="I106" i="9"/>
  <c r="L106" i="9"/>
  <c r="K106" i="9"/>
  <c r="J106" i="9"/>
  <c r="B106" i="9"/>
  <c r="E106" i="9"/>
  <c r="M106" i="9"/>
  <c r="N106" i="9" s="1"/>
  <c r="M24" i="7"/>
  <c r="L24" i="7"/>
  <c r="K24" i="7"/>
  <c r="H24" i="7"/>
  <c r="G24" i="7"/>
  <c r="C24" i="7"/>
  <c r="B24" i="7"/>
  <c r="E24" i="7"/>
  <c r="J24" i="7"/>
  <c r="F24" i="7"/>
  <c r="D24" i="7"/>
  <c r="I134" i="8"/>
  <c r="H134" i="8"/>
  <c r="G134" i="8"/>
  <c r="D134" i="8"/>
  <c r="M134" i="8"/>
  <c r="N134" i="8" s="1"/>
  <c r="L134" i="8"/>
  <c r="B134" i="8"/>
  <c r="K134" i="8"/>
  <c r="C134" i="8"/>
  <c r="J134" i="8"/>
  <c r="J80" i="9"/>
  <c r="B80" i="9"/>
  <c r="M80" i="9"/>
  <c r="N80" i="9" s="1"/>
  <c r="L80" i="9"/>
  <c r="K80" i="9"/>
  <c r="G80" i="9"/>
  <c r="F80" i="9"/>
  <c r="E80" i="9"/>
  <c r="H80" i="9"/>
  <c r="I80" i="9"/>
  <c r="K152" i="7"/>
  <c r="J152" i="7"/>
  <c r="I152" i="7"/>
  <c r="F152" i="7"/>
  <c r="E152" i="7"/>
  <c r="N152" i="7"/>
  <c r="O152" i="7" s="1"/>
  <c r="M152" i="7"/>
  <c r="H152" i="7"/>
  <c r="D152" i="7"/>
  <c r="B152" i="7"/>
  <c r="C152" i="7"/>
  <c r="L152" i="7"/>
  <c r="G152" i="7"/>
  <c r="B201" i="10"/>
  <c r="M201" i="10"/>
  <c r="K201" i="10"/>
  <c r="I201" i="10"/>
  <c r="H201" i="10"/>
  <c r="G201" i="10"/>
  <c r="F201" i="10"/>
  <c r="D201" i="10"/>
  <c r="J201" i="10"/>
  <c r="E201" i="10"/>
  <c r="C201" i="10"/>
  <c r="L201" i="10"/>
  <c r="N201" i="10"/>
  <c r="O201" i="10" s="1"/>
  <c r="I119" i="8"/>
  <c r="H119" i="8"/>
  <c r="G119" i="8"/>
  <c r="L119" i="8"/>
  <c r="K119" i="8"/>
  <c r="M119" i="8"/>
  <c r="N119" i="8" s="1"/>
  <c r="D119" i="8"/>
  <c r="C119" i="8"/>
  <c r="B119" i="8"/>
  <c r="J119" i="8"/>
  <c r="G58" i="18"/>
  <c r="F58" i="18"/>
  <c r="H58" i="18"/>
  <c r="I58" i="18" s="1"/>
  <c r="E58" i="18"/>
  <c r="C58" i="18"/>
  <c r="D58" i="18"/>
  <c r="C76" i="10"/>
  <c r="E76" i="10"/>
  <c r="D76" i="10"/>
  <c r="N76" i="10"/>
  <c r="O76" i="10" s="1"/>
  <c r="M76" i="10"/>
  <c r="L76" i="10"/>
  <c r="J76" i="10"/>
  <c r="I76" i="10"/>
  <c r="G76" i="10"/>
  <c r="F76" i="10"/>
  <c r="B76" i="10"/>
  <c r="K76" i="10"/>
  <c r="H76" i="10"/>
  <c r="N200" i="10"/>
  <c r="O200" i="10" s="1"/>
  <c r="M200" i="10"/>
  <c r="L200" i="10"/>
  <c r="E200" i="10"/>
  <c r="D200" i="10"/>
  <c r="B200" i="10"/>
  <c r="H200" i="10"/>
  <c r="G200" i="10"/>
  <c r="F200" i="10"/>
  <c r="C200" i="10"/>
  <c r="I200" i="10"/>
  <c r="K200" i="10"/>
  <c r="J200" i="10"/>
  <c r="M13" i="7"/>
  <c r="K13" i="7"/>
  <c r="D13" i="7"/>
  <c r="C13" i="7"/>
  <c r="B13" i="7"/>
  <c r="E13" i="7"/>
  <c r="J13" i="7"/>
  <c r="I13" i="7"/>
  <c r="H13" i="7"/>
  <c r="G13" i="7"/>
  <c r="F13" i="7"/>
  <c r="L13" i="7"/>
  <c r="M187" i="9"/>
  <c r="N187" i="9" s="1"/>
  <c r="L187" i="9"/>
  <c r="K187" i="9"/>
  <c r="H187" i="9"/>
  <c r="I187" i="9"/>
  <c r="G187" i="9"/>
  <c r="B187" i="9"/>
  <c r="J187" i="9"/>
  <c r="F187" i="9"/>
  <c r="E187" i="9"/>
  <c r="I168" i="7"/>
  <c r="H168" i="7"/>
  <c r="G168" i="7"/>
  <c r="D168" i="7"/>
  <c r="C168" i="7"/>
  <c r="N168" i="7"/>
  <c r="O168" i="7" s="1"/>
  <c r="M168" i="7"/>
  <c r="L168" i="7"/>
  <c r="K168" i="7"/>
  <c r="F168" i="7"/>
  <c r="J168" i="7"/>
  <c r="E168" i="7"/>
  <c r="B168" i="7"/>
  <c r="M117" i="10"/>
  <c r="L117" i="10"/>
  <c r="K117" i="10"/>
  <c r="G117" i="10"/>
  <c r="H117" i="10"/>
  <c r="F117" i="10"/>
  <c r="B117" i="10"/>
  <c r="J117" i="10"/>
  <c r="I117" i="10"/>
  <c r="E117" i="10"/>
  <c r="D117" i="10"/>
  <c r="N117" i="10"/>
  <c r="O117" i="10" s="1"/>
  <c r="C117" i="10"/>
  <c r="G14" i="18"/>
  <c r="F14" i="18"/>
  <c r="E14" i="18"/>
  <c r="C14" i="18"/>
  <c r="D14" i="18"/>
  <c r="C67" i="8"/>
  <c r="B67" i="8"/>
  <c r="D67" i="8"/>
  <c r="J67" i="8"/>
  <c r="K67" i="8"/>
  <c r="I67" i="8"/>
  <c r="H67" i="8"/>
  <c r="M67" i="8"/>
  <c r="N67" i="8" s="1"/>
  <c r="L67" i="8"/>
  <c r="G67" i="8"/>
  <c r="M65" i="8"/>
  <c r="N65" i="8" s="1"/>
  <c r="K65" i="8"/>
  <c r="J65" i="8"/>
  <c r="D65" i="8"/>
  <c r="I65" i="8"/>
  <c r="G65" i="8"/>
  <c r="H65" i="8"/>
  <c r="B65" i="8"/>
  <c r="L65" i="8"/>
  <c r="C65" i="8"/>
  <c r="H108" i="8"/>
  <c r="K108" i="8"/>
  <c r="J108" i="8"/>
  <c r="I108" i="8"/>
  <c r="G108" i="8"/>
  <c r="B108" i="8"/>
  <c r="L108" i="8"/>
  <c r="M108" i="8"/>
  <c r="N108" i="8" s="1"/>
  <c r="D108" i="8"/>
  <c r="C108" i="8"/>
  <c r="M183" i="10"/>
  <c r="L183" i="10"/>
  <c r="K183" i="10"/>
  <c r="H183" i="10"/>
  <c r="G183" i="10"/>
  <c r="N183" i="10"/>
  <c r="O183" i="10" s="1"/>
  <c r="J183" i="10"/>
  <c r="F183" i="10"/>
  <c r="D183" i="10"/>
  <c r="C183" i="10"/>
  <c r="B183" i="10"/>
  <c r="I183" i="10"/>
  <c r="E183" i="10"/>
  <c r="K133" i="10"/>
  <c r="J133" i="10"/>
  <c r="I133" i="10"/>
  <c r="F133" i="10"/>
  <c r="E133" i="10"/>
  <c r="G133" i="10"/>
  <c r="D133" i="10"/>
  <c r="C133" i="10"/>
  <c r="B133" i="10"/>
  <c r="N133" i="10"/>
  <c r="O133" i="10" s="1"/>
  <c r="M133" i="10"/>
  <c r="L133" i="10"/>
  <c r="H133" i="10"/>
  <c r="L50" i="9"/>
  <c r="B50" i="9"/>
  <c r="I50" i="9"/>
  <c r="H50" i="9"/>
  <c r="G50" i="9"/>
  <c r="F50" i="9"/>
  <c r="J50" i="9"/>
  <c r="E50" i="9"/>
  <c r="K50" i="9"/>
  <c r="M50" i="9"/>
  <c r="N50" i="9" s="1"/>
  <c r="B17" i="9"/>
  <c r="I17" i="9"/>
  <c r="G17" i="9"/>
  <c r="F17" i="9"/>
  <c r="E17" i="9"/>
  <c r="L17" i="9"/>
  <c r="K17" i="9"/>
  <c r="J17" i="9"/>
  <c r="H17" i="9"/>
  <c r="M151" i="9"/>
  <c r="N151" i="9" s="1"/>
  <c r="E151" i="9"/>
  <c r="B151" i="9"/>
  <c r="L151" i="9"/>
  <c r="K151" i="9"/>
  <c r="J151" i="9"/>
  <c r="H151" i="9"/>
  <c r="F151" i="9"/>
  <c r="I151" i="9"/>
  <c r="G151" i="9"/>
  <c r="I179" i="7"/>
  <c r="H179" i="7"/>
  <c r="G179" i="7"/>
  <c r="D179" i="7"/>
  <c r="C179" i="7"/>
  <c r="N179" i="7"/>
  <c r="O179" i="7" s="1"/>
  <c r="L179" i="7"/>
  <c r="K179" i="7"/>
  <c r="M179" i="7"/>
  <c r="J179" i="7"/>
  <c r="B179" i="7"/>
  <c r="F179" i="7"/>
  <c r="E179" i="7"/>
  <c r="F130" i="9"/>
  <c r="I130" i="9"/>
  <c r="H130" i="9"/>
  <c r="G130" i="9"/>
  <c r="B130" i="9"/>
  <c r="J130" i="9"/>
  <c r="M130" i="9"/>
  <c r="N130" i="9" s="1"/>
  <c r="K130" i="9"/>
  <c r="E130" i="9"/>
  <c r="L130" i="9"/>
  <c r="L162" i="10"/>
  <c r="K162" i="10"/>
  <c r="M162" i="10"/>
  <c r="J162" i="10"/>
  <c r="F162" i="10"/>
  <c r="G162" i="10"/>
  <c r="E162" i="10"/>
  <c r="D162" i="10"/>
  <c r="C162" i="10"/>
  <c r="H162" i="10"/>
  <c r="I162" i="10"/>
  <c r="B162" i="10"/>
  <c r="N162" i="10"/>
  <c r="O162" i="10" s="1"/>
  <c r="C117" i="7"/>
  <c r="B117" i="7"/>
  <c r="L117" i="7"/>
  <c r="K117" i="7"/>
  <c r="J117" i="7"/>
  <c r="I117" i="7"/>
  <c r="G117" i="7"/>
  <c r="F117" i="7"/>
  <c r="E117" i="7"/>
  <c r="D117" i="7"/>
  <c r="N117" i="7"/>
  <c r="O117" i="7" s="1"/>
  <c r="M117" i="7"/>
  <c r="H117" i="7"/>
  <c r="K108" i="7"/>
  <c r="J108" i="7"/>
  <c r="I108" i="7"/>
  <c r="F108" i="7"/>
  <c r="E108" i="7"/>
  <c r="D108" i="7"/>
  <c r="C108" i="7"/>
  <c r="B108" i="7"/>
  <c r="L108" i="7"/>
  <c r="H108" i="7"/>
  <c r="N108" i="7"/>
  <c r="O108" i="7" s="1"/>
  <c r="G108" i="7"/>
  <c r="M108" i="7"/>
  <c r="G62" i="8"/>
  <c r="L62" i="8"/>
  <c r="K62" i="8"/>
  <c r="J62" i="8"/>
  <c r="I62" i="8"/>
  <c r="H62" i="8"/>
  <c r="D62" i="8"/>
  <c r="C62" i="8"/>
  <c r="M62" i="8"/>
  <c r="N62" i="8" s="1"/>
  <c r="B62" i="8"/>
  <c r="M128" i="8"/>
  <c r="N128" i="8" s="1"/>
  <c r="D128" i="8"/>
  <c r="K128" i="8"/>
  <c r="L128" i="8"/>
  <c r="J128" i="8"/>
  <c r="I128" i="8"/>
  <c r="H128" i="8"/>
  <c r="C128" i="8"/>
  <c r="G128" i="8"/>
  <c r="B128" i="8"/>
  <c r="G121" i="10"/>
  <c r="F121" i="10"/>
  <c r="E121" i="10"/>
  <c r="B121" i="10"/>
  <c r="M121" i="10"/>
  <c r="N121" i="10"/>
  <c r="O121" i="10" s="1"/>
  <c r="L121" i="10"/>
  <c r="K121" i="10"/>
  <c r="J121" i="10"/>
  <c r="D121" i="10"/>
  <c r="I121" i="10"/>
  <c r="H121" i="10"/>
  <c r="C121" i="10"/>
  <c r="G6" i="10"/>
  <c r="F6" i="10"/>
  <c r="E6" i="10"/>
  <c r="B6" i="10"/>
  <c r="D6" i="10"/>
  <c r="C6" i="10"/>
  <c r="J6" i="10"/>
  <c r="I6" i="10"/>
  <c r="H6" i="10"/>
  <c r="M6" i="10"/>
  <c r="L6" i="10"/>
  <c r="K6" i="10"/>
  <c r="J83" i="9"/>
  <c r="I83" i="9"/>
  <c r="H83" i="9"/>
  <c r="E83" i="9"/>
  <c r="L83" i="9"/>
  <c r="M83" i="9"/>
  <c r="N83" i="9" s="1"/>
  <c r="K83" i="9"/>
  <c r="G83" i="9"/>
  <c r="F83" i="9"/>
  <c r="B83" i="9"/>
  <c r="I189" i="8"/>
  <c r="H189" i="8"/>
  <c r="G189" i="8"/>
  <c r="L189" i="8"/>
  <c r="D189" i="8"/>
  <c r="C189" i="8"/>
  <c r="B189" i="8"/>
  <c r="M189" i="8"/>
  <c r="N189" i="8"/>
  <c r="K189" i="8"/>
  <c r="J189" i="8"/>
  <c r="K122" i="10"/>
  <c r="J122" i="10"/>
  <c r="I122" i="10"/>
  <c r="F122" i="10"/>
  <c r="E122" i="10"/>
  <c r="N122" i="10"/>
  <c r="O122" i="10" s="1"/>
  <c r="M122" i="10"/>
  <c r="H122" i="10"/>
  <c r="L122" i="10"/>
  <c r="G122" i="10"/>
  <c r="C122" i="10"/>
  <c r="D122" i="10"/>
  <c r="B122" i="10"/>
  <c r="G162" i="7"/>
  <c r="F162" i="7"/>
  <c r="E162" i="7"/>
  <c r="B162" i="7"/>
  <c r="N162" i="7"/>
  <c r="O162" i="7" s="1"/>
  <c r="L162" i="7"/>
  <c r="M162" i="7"/>
  <c r="K162" i="7"/>
  <c r="J162" i="7"/>
  <c r="H162" i="7"/>
  <c r="C162" i="7"/>
  <c r="I162" i="7"/>
  <c r="D162" i="7"/>
  <c r="B48" i="9"/>
  <c r="M48" i="9"/>
  <c r="N48" i="9" s="1"/>
  <c r="L48" i="9"/>
  <c r="I48" i="9"/>
  <c r="H48" i="9"/>
  <c r="K48" i="9"/>
  <c r="G48" i="9"/>
  <c r="E48" i="9"/>
  <c r="J48" i="9"/>
  <c r="F48" i="9"/>
  <c r="C46" i="16"/>
  <c r="D46" i="16"/>
  <c r="G46" i="16"/>
  <c r="H46" i="16"/>
  <c r="I46" i="16" s="1"/>
  <c r="F46" i="16"/>
  <c r="E46" i="16"/>
  <c r="G65" i="18"/>
  <c r="F65" i="18"/>
  <c r="H65" i="18"/>
  <c r="I65" i="18" s="1"/>
  <c r="E65" i="18"/>
  <c r="D65" i="18"/>
  <c r="C65" i="18"/>
  <c r="F26" i="16"/>
  <c r="H26" i="16"/>
  <c r="I26" i="16" s="1"/>
  <c r="G26" i="16"/>
  <c r="C26" i="16"/>
  <c r="E26" i="16"/>
  <c r="D26" i="16"/>
  <c r="L52" i="7"/>
  <c r="K52" i="7"/>
  <c r="C52" i="7"/>
  <c r="B52" i="7"/>
  <c r="F52" i="7"/>
  <c r="G52" i="7"/>
  <c r="H52" i="7"/>
  <c r="M52" i="7"/>
  <c r="J52" i="7"/>
  <c r="E52" i="7"/>
  <c r="D52" i="7"/>
  <c r="M113" i="8"/>
  <c r="N113" i="8" s="1"/>
  <c r="L113" i="8"/>
  <c r="K113" i="8"/>
  <c r="I113" i="8"/>
  <c r="C113" i="8"/>
  <c r="J113" i="8"/>
  <c r="B113" i="8"/>
  <c r="H113" i="8"/>
  <c r="G113" i="8"/>
  <c r="D113" i="8"/>
  <c r="H101" i="16"/>
  <c r="I101" i="16" s="1"/>
  <c r="F101" i="16"/>
  <c r="E101" i="16"/>
  <c r="D101" i="16"/>
  <c r="C101" i="16"/>
  <c r="G101" i="16"/>
  <c r="I160" i="10"/>
  <c r="H160" i="10"/>
  <c r="G160" i="10"/>
  <c r="D160" i="10"/>
  <c r="C160" i="10"/>
  <c r="F160" i="10"/>
  <c r="E160" i="10"/>
  <c r="B160" i="10"/>
  <c r="K160" i="10"/>
  <c r="J160" i="10"/>
  <c r="N160" i="10"/>
  <c r="O160" i="10" s="1"/>
  <c r="M160" i="10"/>
  <c r="L160" i="10"/>
  <c r="G87" i="18"/>
  <c r="F87" i="18"/>
  <c r="H87" i="18"/>
  <c r="I87" i="18" s="1"/>
  <c r="E87" i="18"/>
  <c r="C87" i="18"/>
  <c r="D87" i="18"/>
  <c r="L139" i="8"/>
  <c r="K139" i="8"/>
  <c r="J139" i="8"/>
  <c r="I139" i="8"/>
  <c r="G139" i="8"/>
  <c r="D139" i="8"/>
  <c r="C139" i="8"/>
  <c r="B139" i="8"/>
  <c r="M139" i="8"/>
  <c r="N139" i="8" s="1"/>
  <c r="H139" i="8"/>
  <c r="M101" i="8"/>
  <c r="N101" i="8" s="1"/>
  <c r="K101" i="8"/>
  <c r="J101" i="8"/>
  <c r="L101" i="8"/>
  <c r="I101" i="8"/>
  <c r="B101" i="8"/>
  <c r="G101" i="8"/>
  <c r="C101" i="8"/>
  <c r="H101" i="8"/>
  <c r="D101" i="8"/>
  <c r="I99" i="8"/>
  <c r="H99" i="8"/>
  <c r="G99" i="8"/>
  <c r="C99" i="8"/>
  <c r="B99" i="8"/>
  <c r="M99" i="8"/>
  <c r="N99" i="8" s="1"/>
  <c r="L99" i="8"/>
  <c r="D99" i="8"/>
  <c r="K99" i="8"/>
  <c r="J99" i="8"/>
  <c r="E82" i="10"/>
  <c r="L82" i="10"/>
  <c r="K82" i="10"/>
  <c r="G82" i="10"/>
  <c r="N82" i="10"/>
  <c r="O82" i="10" s="1"/>
  <c r="M82" i="10"/>
  <c r="J82" i="10"/>
  <c r="H82" i="10"/>
  <c r="I82" i="10"/>
  <c r="F82" i="10"/>
  <c r="D82" i="10"/>
  <c r="B82" i="10"/>
  <c r="C82" i="10"/>
  <c r="M106" i="10"/>
  <c r="L106" i="10"/>
  <c r="K106" i="10"/>
  <c r="G106" i="10"/>
  <c r="D106" i="10"/>
  <c r="C106" i="10"/>
  <c r="B106" i="10"/>
  <c r="I106" i="10"/>
  <c r="H106" i="10"/>
  <c r="F106" i="10"/>
  <c r="E106" i="10"/>
  <c r="N106" i="10"/>
  <c r="O106" i="10" s="1"/>
  <c r="J106" i="10"/>
  <c r="L164" i="9"/>
  <c r="J164" i="9"/>
  <c r="H164" i="9"/>
  <c r="G164" i="9"/>
  <c r="M164" i="9"/>
  <c r="N164" i="9" s="1"/>
  <c r="K164" i="9"/>
  <c r="I164" i="9"/>
  <c r="B164" i="9"/>
  <c r="F164" i="9"/>
  <c r="E164" i="9"/>
  <c r="J15" i="9"/>
  <c r="I15" i="9"/>
  <c r="F15" i="9"/>
  <c r="E15" i="9"/>
  <c r="B15" i="9"/>
  <c r="K15" i="9"/>
  <c r="G15" i="9"/>
  <c r="H15" i="9"/>
  <c r="L15" i="9"/>
  <c r="K112" i="9"/>
  <c r="F112" i="9"/>
  <c r="J112" i="9"/>
  <c r="I112" i="9"/>
  <c r="B112" i="9"/>
  <c r="G112" i="9"/>
  <c r="E112" i="9"/>
  <c r="L112" i="9"/>
  <c r="M112" i="9"/>
  <c r="N112" i="9" s="1"/>
  <c r="H112" i="9"/>
  <c r="K97" i="7"/>
  <c r="J97" i="7"/>
  <c r="I97" i="7"/>
  <c r="F97" i="7"/>
  <c r="E97" i="7"/>
  <c r="G97" i="7"/>
  <c r="D97" i="7"/>
  <c r="C97" i="7"/>
  <c r="B97" i="7"/>
  <c r="N97" i="7"/>
  <c r="O97" i="7" s="1"/>
  <c r="M97" i="7"/>
  <c r="L97" i="7"/>
  <c r="H97" i="7"/>
  <c r="C128" i="7"/>
  <c r="B128" i="7"/>
  <c r="K128" i="7"/>
  <c r="J128" i="7"/>
  <c r="I128" i="7"/>
  <c r="H128" i="7"/>
  <c r="F128" i="7"/>
  <c r="E128" i="7"/>
  <c r="M128" i="7"/>
  <c r="G128" i="7"/>
  <c r="N128" i="7"/>
  <c r="O128" i="7" s="1"/>
  <c r="L128" i="7"/>
  <c r="D128" i="7"/>
  <c r="H36" i="9"/>
  <c r="L36" i="9"/>
  <c r="K36" i="9"/>
  <c r="J36" i="9"/>
  <c r="F36" i="9"/>
  <c r="E36" i="9"/>
  <c r="M36" i="9"/>
  <c r="N36" i="9" s="1"/>
  <c r="G36" i="9"/>
  <c r="I36" i="9"/>
  <c r="B36" i="9"/>
  <c r="L186" i="9"/>
  <c r="F186" i="9"/>
  <c r="E186" i="9"/>
  <c r="I186" i="9"/>
  <c r="H186" i="9"/>
  <c r="G186" i="9"/>
  <c r="B186" i="9"/>
  <c r="M186" i="9"/>
  <c r="N186" i="9" s="1"/>
  <c r="K186" i="9"/>
  <c r="J186" i="9"/>
  <c r="C49" i="7"/>
  <c r="B49" i="7"/>
  <c r="J49" i="7"/>
  <c r="D49" i="7"/>
  <c r="I49" i="7"/>
  <c r="M49" i="7"/>
  <c r="L49" i="7"/>
  <c r="K49" i="7"/>
  <c r="G49" i="7"/>
  <c r="F49" i="7"/>
  <c r="E49" i="7"/>
  <c r="H49" i="7"/>
  <c r="B105" i="9"/>
  <c r="F105" i="9"/>
  <c r="J105" i="9"/>
  <c r="H105" i="9"/>
  <c r="G105" i="9"/>
  <c r="E105" i="9"/>
  <c r="I105" i="9"/>
  <c r="K105" i="9"/>
  <c r="M105" i="9"/>
  <c r="L105" i="9"/>
  <c r="N105" i="9"/>
  <c r="H59" i="16"/>
  <c r="I59" i="16" s="1"/>
  <c r="G59" i="16"/>
  <c r="F59" i="16"/>
  <c r="C59" i="16"/>
  <c r="E59" i="16"/>
  <c r="D59" i="16"/>
  <c r="L8" i="9"/>
  <c r="K8" i="9"/>
  <c r="J8" i="9"/>
  <c r="G8" i="9"/>
  <c r="F8" i="9"/>
  <c r="M8" i="9" s="1"/>
  <c r="I8" i="9"/>
  <c r="H8" i="9"/>
  <c r="B8" i="9"/>
  <c r="E8" i="9"/>
  <c r="E123" i="9"/>
  <c r="M123" i="9"/>
  <c r="N123" i="9" s="1"/>
  <c r="J123" i="9"/>
  <c r="I123" i="9"/>
  <c r="H123" i="9"/>
  <c r="G123" i="9"/>
  <c r="F123" i="9"/>
  <c r="B123" i="9"/>
  <c r="L123" i="9"/>
  <c r="K123" i="9"/>
  <c r="M202" i="7"/>
  <c r="L202" i="7"/>
  <c r="K202" i="7"/>
  <c r="H202" i="7"/>
  <c r="G202" i="7"/>
  <c r="I202" i="7"/>
  <c r="F202" i="7"/>
  <c r="E202" i="7"/>
  <c r="D202" i="7"/>
  <c r="B202" i="7"/>
  <c r="N202" i="7"/>
  <c r="O202" i="7" s="1"/>
  <c r="J202" i="7"/>
  <c r="C202" i="7"/>
  <c r="E53" i="9"/>
  <c r="M53" i="9"/>
  <c r="N53" i="9" s="1"/>
  <c r="L53" i="9"/>
  <c r="K53" i="9"/>
  <c r="I53" i="9"/>
  <c r="B53" i="9"/>
  <c r="H53" i="9"/>
  <c r="G53" i="9"/>
  <c r="J53" i="9"/>
  <c r="F53" i="9"/>
  <c r="C73" i="7"/>
  <c r="B73" i="7"/>
  <c r="N73" i="7"/>
  <c r="O73" i="7" s="1"/>
  <c r="M73" i="7"/>
  <c r="K73" i="7"/>
  <c r="L73" i="7"/>
  <c r="J73" i="7"/>
  <c r="I73" i="7"/>
  <c r="G73" i="7"/>
  <c r="F73" i="7"/>
  <c r="E73" i="7"/>
  <c r="D73" i="7"/>
  <c r="H73" i="7"/>
  <c r="C21" i="7"/>
  <c r="B21" i="7"/>
  <c r="M21" i="7"/>
  <c r="L21" i="7"/>
  <c r="K21" i="7"/>
  <c r="I21" i="7"/>
  <c r="J21" i="7"/>
  <c r="G21" i="7"/>
  <c r="F21" i="7"/>
  <c r="E21" i="7"/>
  <c r="D21" i="7"/>
  <c r="H21" i="7"/>
  <c r="M78" i="9"/>
  <c r="H78" i="9"/>
  <c r="K78" i="9"/>
  <c r="J78" i="9"/>
  <c r="I78" i="9"/>
  <c r="G78" i="9"/>
  <c r="E78" i="9"/>
  <c r="B78" i="9"/>
  <c r="N78" i="9"/>
  <c r="F78" i="9"/>
  <c r="L78" i="9"/>
  <c r="N186" i="7"/>
  <c r="O186" i="7" s="1"/>
  <c r="M186" i="7"/>
  <c r="J186" i="7"/>
  <c r="I186" i="7"/>
  <c r="F186" i="7"/>
  <c r="E186" i="7"/>
  <c r="D186" i="7"/>
  <c r="C186" i="7"/>
  <c r="K186" i="7"/>
  <c r="H186" i="7"/>
  <c r="G186" i="7"/>
  <c r="B186" i="7"/>
  <c r="L186" i="7"/>
  <c r="M60" i="7"/>
  <c r="L60" i="7"/>
  <c r="J60" i="7"/>
  <c r="K60" i="7"/>
  <c r="H60" i="7"/>
  <c r="F60" i="7"/>
  <c r="C60" i="7"/>
  <c r="I60" i="7"/>
  <c r="B60" i="7"/>
  <c r="G60" i="7"/>
  <c r="E60" i="7"/>
  <c r="D60" i="7"/>
  <c r="E93" i="10"/>
  <c r="J93" i="10"/>
  <c r="I93" i="10"/>
  <c r="H93" i="10"/>
  <c r="G93" i="10"/>
  <c r="D93" i="10"/>
  <c r="C93" i="10"/>
  <c r="B93" i="10"/>
  <c r="N93" i="10"/>
  <c r="O93" i="10" s="1"/>
  <c r="M93" i="10"/>
  <c r="L93" i="10"/>
  <c r="K93" i="10"/>
  <c r="F93" i="10"/>
  <c r="M95" i="10"/>
  <c r="L95" i="10"/>
  <c r="G95" i="10"/>
  <c r="N95" i="10"/>
  <c r="O95" i="10" s="1"/>
  <c r="H95" i="10"/>
  <c r="I95" i="10"/>
  <c r="F95" i="10"/>
  <c r="E95" i="10"/>
  <c r="D95" i="10"/>
  <c r="B95" i="10"/>
  <c r="K95" i="10"/>
  <c r="J95" i="10"/>
  <c r="C95" i="10"/>
  <c r="K67" i="9"/>
  <c r="L67" i="9"/>
  <c r="F67" i="9"/>
  <c r="E67" i="9"/>
  <c r="M67" i="9"/>
  <c r="N67" i="9" s="1"/>
  <c r="I67" i="9"/>
  <c r="G67" i="9"/>
  <c r="B67" i="9"/>
  <c r="H67" i="9"/>
  <c r="J67" i="9"/>
  <c r="F12" i="16"/>
  <c r="D12" i="16"/>
  <c r="C12" i="16"/>
  <c r="G12" i="16"/>
  <c r="E12" i="16"/>
  <c r="M191" i="7"/>
  <c r="L191" i="7"/>
  <c r="K191" i="7"/>
  <c r="H191" i="7"/>
  <c r="G191" i="7"/>
  <c r="B191" i="7"/>
  <c r="C191" i="7"/>
  <c r="F191" i="7"/>
  <c r="D191" i="7"/>
  <c r="J191" i="7"/>
  <c r="E191" i="7"/>
  <c r="N191" i="7"/>
  <c r="O191" i="7" s="1"/>
  <c r="I191" i="7"/>
  <c r="G36" i="16"/>
  <c r="F36" i="16"/>
  <c r="C36" i="16"/>
  <c r="H36" i="16"/>
  <c r="I36" i="16" s="1"/>
  <c r="D36" i="16"/>
  <c r="E36" i="16"/>
  <c r="B96" i="9"/>
  <c r="I96" i="9"/>
  <c r="M96" i="9"/>
  <c r="N96" i="9" s="1"/>
  <c r="L96" i="9"/>
  <c r="K96" i="9"/>
  <c r="H96" i="9"/>
  <c r="J96" i="9"/>
  <c r="G96" i="9"/>
  <c r="F96" i="9"/>
  <c r="E96" i="9"/>
  <c r="H77" i="16"/>
  <c r="I77" i="16" s="1"/>
  <c r="D77" i="16"/>
  <c r="C77" i="16"/>
  <c r="E77" i="16"/>
  <c r="F77" i="16"/>
  <c r="G77" i="16"/>
  <c r="H91" i="16"/>
  <c r="D91" i="16"/>
  <c r="E91" i="16"/>
  <c r="C91" i="16"/>
  <c r="I91" i="16"/>
  <c r="F91" i="16"/>
  <c r="G91" i="16"/>
  <c r="G83" i="7"/>
  <c r="F83" i="7"/>
  <c r="E83" i="7"/>
  <c r="D83" i="7"/>
  <c r="B83" i="7"/>
  <c r="L83" i="7"/>
  <c r="K83" i="7"/>
  <c r="J83" i="7"/>
  <c r="I83" i="7"/>
  <c r="C83" i="7"/>
  <c r="M83" i="7"/>
  <c r="H83" i="7"/>
  <c r="N83" i="7"/>
  <c r="O83" i="7" s="1"/>
  <c r="L203" i="7"/>
  <c r="K203" i="7"/>
  <c r="J203" i="7"/>
  <c r="I203" i="7"/>
  <c r="H203" i="7"/>
  <c r="G203" i="7"/>
  <c r="E203" i="7"/>
  <c r="N203" i="7"/>
  <c r="O203" i="7" s="1"/>
  <c r="M203" i="7"/>
  <c r="F203" i="7"/>
  <c r="C203" i="7"/>
  <c r="D203" i="7"/>
  <c r="B203" i="7"/>
  <c r="J165" i="8"/>
  <c r="I165" i="8"/>
  <c r="H165" i="8"/>
  <c r="G165" i="8"/>
  <c r="M165" i="8"/>
  <c r="L165" i="8"/>
  <c r="K165" i="8"/>
  <c r="B165" i="8"/>
  <c r="N165" i="8"/>
  <c r="C165" i="8"/>
  <c r="D165" i="8"/>
  <c r="M51" i="10"/>
  <c r="L51" i="10"/>
  <c r="H51" i="10"/>
  <c r="N51" i="10"/>
  <c r="O51" i="10" s="1"/>
  <c r="K51" i="10"/>
  <c r="J51" i="10"/>
  <c r="I51" i="10"/>
  <c r="F51" i="10"/>
  <c r="C51" i="10"/>
  <c r="B51" i="10"/>
  <c r="E51" i="10"/>
  <c r="G51" i="10"/>
  <c r="D51" i="10"/>
  <c r="M83" i="8"/>
  <c r="N83" i="8" s="1"/>
  <c r="L83" i="8"/>
  <c r="K83" i="8"/>
  <c r="G83" i="8"/>
  <c r="J83" i="8"/>
  <c r="I83" i="8"/>
  <c r="H83" i="8"/>
  <c r="D83" i="8"/>
  <c r="B83" i="8"/>
  <c r="C83" i="8"/>
  <c r="I51" i="8"/>
  <c r="H51" i="8"/>
  <c r="G51" i="8"/>
  <c r="C51" i="8"/>
  <c r="J51" i="8"/>
  <c r="L51" i="8"/>
  <c r="K51" i="8"/>
  <c r="B51" i="8"/>
  <c r="D51" i="8"/>
  <c r="K152" i="8"/>
  <c r="J152" i="8"/>
  <c r="I152" i="8"/>
  <c r="H152" i="8"/>
  <c r="M152" i="8"/>
  <c r="N152" i="8" s="1"/>
  <c r="L152" i="8"/>
  <c r="C152" i="8"/>
  <c r="G152" i="8"/>
  <c r="D152" i="8"/>
  <c r="B152" i="8"/>
  <c r="H169" i="8"/>
  <c r="G169" i="8"/>
  <c r="C169" i="8"/>
  <c r="I169" i="8"/>
  <c r="M169" i="8"/>
  <c r="N169" i="8" s="1"/>
  <c r="L169" i="8"/>
  <c r="K169" i="8"/>
  <c r="J169" i="8"/>
  <c r="B169" i="8"/>
  <c r="D169" i="8"/>
  <c r="C97" i="10"/>
  <c r="B97" i="10"/>
  <c r="M97" i="10"/>
  <c r="L97" i="10"/>
  <c r="K97" i="10"/>
  <c r="J97" i="10"/>
  <c r="H97" i="10"/>
  <c r="N97" i="10"/>
  <c r="O97" i="10" s="1"/>
  <c r="I97" i="10"/>
  <c r="G97" i="10"/>
  <c r="F97" i="10"/>
  <c r="D97" i="10"/>
  <c r="E97" i="10"/>
  <c r="M196" i="10"/>
  <c r="K196" i="10"/>
  <c r="I196" i="10"/>
  <c r="H196" i="10"/>
  <c r="G196" i="10"/>
  <c r="F196" i="10"/>
  <c r="D196" i="10"/>
  <c r="N196" i="10"/>
  <c r="O196" i="10" s="1"/>
  <c r="L196" i="10"/>
  <c r="J196" i="10"/>
  <c r="E196" i="10"/>
  <c r="B196" i="10"/>
  <c r="C196" i="10"/>
  <c r="L29" i="9"/>
  <c r="K29" i="9"/>
  <c r="M29" i="9"/>
  <c r="N29" i="9" s="1"/>
  <c r="J29" i="9"/>
  <c r="I29" i="9"/>
  <c r="G29" i="9"/>
  <c r="H29" i="9"/>
  <c r="F29" i="9"/>
  <c r="B29" i="9"/>
  <c r="E29" i="9"/>
  <c r="J122" i="9"/>
  <c r="H122" i="9"/>
  <c r="G122" i="9"/>
  <c r="F122" i="9"/>
  <c r="B122" i="9"/>
  <c r="L122" i="9"/>
  <c r="K122" i="9"/>
  <c r="I122" i="9"/>
  <c r="E122" i="9"/>
  <c r="M122" i="9"/>
  <c r="N122" i="9" s="1"/>
  <c r="F12" i="9"/>
  <c r="E12" i="9"/>
  <c r="I12" i="9"/>
  <c r="G12" i="9"/>
  <c r="H12" i="9"/>
  <c r="B12" i="9"/>
  <c r="K12" i="9"/>
  <c r="L12" i="9"/>
  <c r="J12" i="9"/>
  <c r="N198" i="7"/>
  <c r="O198" i="7" s="1"/>
  <c r="M198" i="7"/>
  <c r="L198" i="7"/>
  <c r="K198" i="7"/>
  <c r="I198" i="7"/>
  <c r="G198" i="7"/>
  <c r="F198" i="7"/>
  <c r="E198" i="7"/>
  <c r="D198" i="7"/>
  <c r="B198" i="7"/>
  <c r="H198" i="7"/>
  <c r="J198" i="7"/>
  <c r="C198" i="7"/>
  <c r="G57" i="7"/>
  <c r="F57" i="7"/>
  <c r="E57" i="7"/>
  <c r="N57" i="7" s="1"/>
  <c r="B57" i="7"/>
  <c r="M57" i="7"/>
  <c r="L57" i="7"/>
  <c r="J57" i="7"/>
  <c r="H57" i="7"/>
  <c r="C57" i="7"/>
  <c r="D57" i="7"/>
  <c r="K57" i="7"/>
  <c r="D32" i="18"/>
  <c r="H32" i="18"/>
  <c r="I32" i="18" s="1"/>
  <c r="G32" i="18"/>
  <c r="F32" i="18"/>
  <c r="E32" i="18"/>
  <c r="C32" i="18"/>
  <c r="I137" i="9"/>
  <c r="H137" i="9"/>
  <c r="G137" i="9"/>
  <c r="F137" i="9"/>
  <c r="J137" i="9"/>
  <c r="B137" i="9"/>
  <c r="M137" i="9"/>
  <c r="N137" i="9" s="1"/>
  <c r="L137" i="9"/>
  <c r="E137" i="9"/>
  <c r="K137" i="9"/>
  <c r="N110" i="7"/>
  <c r="O110" i="7" s="1"/>
  <c r="M110" i="7"/>
  <c r="G110" i="7"/>
  <c r="E110" i="7"/>
  <c r="D110" i="7"/>
  <c r="L110" i="7"/>
  <c r="J110" i="7"/>
  <c r="I110" i="7"/>
  <c r="H110" i="7"/>
  <c r="B110" i="7"/>
  <c r="F110" i="7"/>
  <c r="K110" i="7"/>
  <c r="C110" i="7"/>
  <c r="M113" i="9"/>
  <c r="N113" i="9" s="1"/>
  <c r="L113" i="9"/>
  <c r="J113" i="9"/>
  <c r="K113" i="9"/>
  <c r="I113" i="9"/>
  <c r="G113" i="9"/>
  <c r="E113" i="9"/>
  <c r="B113" i="9"/>
  <c r="F113" i="9"/>
  <c r="H113" i="9"/>
  <c r="L183" i="8"/>
  <c r="K183" i="8"/>
  <c r="J183" i="8"/>
  <c r="I183" i="8"/>
  <c r="G183" i="8"/>
  <c r="B183" i="8"/>
  <c r="M183" i="8"/>
  <c r="H183" i="8"/>
  <c r="C183" i="8"/>
  <c r="D183" i="8"/>
  <c r="N183" i="8"/>
  <c r="L98" i="9"/>
  <c r="J98" i="9"/>
  <c r="M98" i="9"/>
  <c r="N98" i="9" s="1"/>
  <c r="H98" i="9"/>
  <c r="G98" i="9"/>
  <c r="K98" i="9"/>
  <c r="I98" i="9"/>
  <c r="F98" i="9"/>
  <c r="B98" i="9"/>
  <c r="E98" i="9"/>
  <c r="M155" i="9"/>
  <c r="N155" i="9" s="1"/>
  <c r="K155" i="9"/>
  <c r="L155" i="9"/>
  <c r="J155" i="9"/>
  <c r="I155" i="9"/>
  <c r="H155" i="9"/>
  <c r="G155" i="9"/>
  <c r="F155" i="9"/>
  <c r="E155" i="9"/>
  <c r="B155" i="9"/>
  <c r="M169" i="7"/>
  <c r="L169" i="7"/>
  <c r="K169" i="7"/>
  <c r="H169" i="7"/>
  <c r="G169" i="7"/>
  <c r="D169" i="7"/>
  <c r="C169" i="7"/>
  <c r="B169" i="7"/>
  <c r="N169" i="7"/>
  <c r="O169" i="7" s="1"/>
  <c r="E169" i="7"/>
  <c r="J169" i="7"/>
  <c r="I169" i="7"/>
  <c r="F169" i="7"/>
  <c r="G49" i="9"/>
  <c r="K49" i="9"/>
  <c r="I49" i="9"/>
  <c r="H49" i="9"/>
  <c r="F49" i="9"/>
  <c r="B49" i="9"/>
  <c r="E49" i="9"/>
  <c r="M49" i="9"/>
  <c r="N49" i="9" s="1"/>
  <c r="L49" i="9"/>
  <c r="J49" i="9"/>
  <c r="C149" i="7"/>
  <c r="B149" i="7"/>
  <c r="N149" i="7"/>
  <c r="O149" i="7" s="1"/>
  <c r="L149" i="7"/>
  <c r="K149" i="7"/>
  <c r="M149" i="7"/>
  <c r="F149" i="7"/>
  <c r="J149" i="7"/>
  <c r="I149" i="7"/>
  <c r="D149" i="7"/>
  <c r="H149" i="7"/>
  <c r="G149" i="7"/>
  <c r="E149" i="7"/>
  <c r="I102" i="7"/>
  <c r="H102" i="7"/>
  <c r="G102" i="7"/>
  <c r="D102" i="7"/>
  <c r="C102" i="7"/>
  <c r="N102" i="7"/>
  <c r="O102" i="7" s="1"/>
  <c r="L102" i="7"/>
  <c r="K102" i="7"/>
  <c r="B102" i="7"/>
  <c r="F102" i="7"/>
  <c r="E102" i="7"/>
  <c r="M102" i="7"/>
  <c r="J102" i="7"/>
  <c r="B156" i="9"/>
  <c r="J156" i="9"/>
  <c r="I156" i="9"/>
  <c r="H156" i="9"/>
  <c r="E156" i="9"/>
  <c r="L156" i="9"/>
  <c r="K156" i="9"/>
  <c r="G156" i="9"/>
  <c r="F156" i="9"/>
  <c r="M156" i="9"/>
  <c r="N156" i="9" s="1"/>
  <c r="B144" i="9"/>
  <c r="M144" i="9"/>
  <c r="N144" i="9" s="1"/>
  <c r="H144" i="9"/>
  <c r="G144" i="9"/>
  <c r="F144" i="9"/>
  <c r="E144" i="9"/>
  <c r="I144" i="9"/>
  <c r="L144" i="9"/>
  <c r="K144" i="9"/>
  <c r="J144" i="9"/>
  <c r="K86" i="7"/>
  <c r="J86" i="7"/>
  <c r="I86" i="7"/>
  <c r="F86" i="7"/>
  <c r="E86" i="7"/>
  <c r="H86" i="7"/>
  <c r="G86" i="7"/>
  <c r="D86" i="7"/>
  <c r="C86" i="7"/>
  <c r="N86" i="7"/>
  <c r="O86" i="7" s="1"/>
  <c r="L86" i="7"/>
  <c r="M86" i="7"/>
  <c r="B86" i="7"/>
  <c r="J189" i="9"/>
  <c r="H189" i="9"/>
  <c r="G189" i="9"/>
  <c r="E189" i="9"/>
  <c r="F189" i="9"/>
  <c r="B189" i="9"/>
  <c r="K189" i="9"/>
  <c r="I189" i="9"/>
  <c r="M189" i="9"/>
  <c r="N189" i="9" s="1"/>
  <c r="L189" i="9"/>
  <c r="H75" i="8"/>
  <c r="K75" i="8"/>
  <c r="J75" i="8"/>
  <c r="C75" i="8"/>
  <c r="L75" i="8"/>
  <c r="I75" i="8"/>
  <c r="D75" i="8"/>
  <c r="G75" i="8"/>
  <c r="B75" i="8"/>
  <c r="M75" i="8"/>
  <c r="N75" i="8" s="1"/>
  <c r="D22" i="7"/>
  <c r="C22" i="7"/>
  <c r="B22" i="7"/>
  <c r="J22" i="7"/>
  <c r="I22" i="7"/>
  <c r="H22" i="7"/>
  <c r="G22" i="7"/>
  <c r="E22" i="7"/>
  <c r="L22" i="7"/>
  <c r="K22" i="7"/>
  <c r="F22" i="7"/>
  <c r="M22" i="7"/>
  <c r="F34" i="16"/>
  <c r="G34" i="16"/>
  <c r="E34" i="16"/>
  <c r="D34" i="16"/>
  <c r="C34" i="16"/>
  <c r="H34" i="16"/>
  <c r="I34" i="16" s="1"/>
  <c r="C194" i="7"/>
  <c r="B194" i="7"/>
  <c r="E194" i="7"/>
  <c r="D194" i="7"/>
  <c r="J194" i="7"/>
  <c r="I194" i="7"/>
  <c r="H194" i="7"/>
  <c r="G194" i="7"/>
  <c r="N194" i="7"/>
  <c r="O194" i="7" s="1"/>
  <c r="M194" i="7"/>
  <c r="L194" i="7"/>
  <c r="K194" i="7"/>
  <c r="F194" i="7"/>
  <c r="L195" i="10"/>
  <c r="K195" i="10"/>
  <c r="H195" i="10"/>
  <c r="G195" i="10"/>
  <c r="E195" i="10"/>
  <c r="C195" i="10"/>
  <c r="M195" i="10"/>
  <c r="J195" i="10"/>
  <c r="I195" i="10"/>
  <c r="B195" i="10"/>
  <c r="N195" i="10"/>
  <c r="O195" i="10" s="1"/>
  <c r="F195" i="10"/>
  <c r="D195" i="10"/>
  <c r="M92" i="8"/>
  <c r="N92" i="8" s="1"/>
  <c r="G92" i="8"/>
  <c r="L92" i="8"/>
  <c r="H92" i="8"/>
  <c r="K92" i="8"/>
  <c r="J92" i="8"/>
  <c r="I92" i="8"/>
  <c r="D92" i="8"/>
  <c r="C92" i="8"/>
  <c r="B92" i="8"/>
  <c r="M141" i="8"/>
  <c r="N141" i="8" s="1"/>
  <c r="L141" i="8"/>
  <c r="K141" i="8"/>
  <c r="J141" i="8"/>
  <c r="D141" i="8"/>
  <c r="C141" i="8"/>
  <c r="B141" i="8"/>
  <c r="I141" i="8"/>
  <c r="H141" i="8"/>
  <c r="G141" i="8"/>
  <c r="B58" i="8"/>
  <c r="C58" i="8"/>
  <c r="D58" i="8"/>
  <c r="G58" i="8"/>
  <c r="K58" i="8"/>
  <c r="J58" i="8"/>
  <c r="H58" i="8"/>
  <c r="M58" i="8"/>
  <c r="N58" i="8" s="1"/>
  <c r="L58" i="8"/>
  <c r="I58" i="8"/>
  <c r="M190" i="9"/>
  <c r="N190" i="9" s="1"/>
  <c r="L190" i="9"/>
  <c r="J190" i="9"/>
  <c r="H190" i="9"/>
  <c r="K190" i="9"/>
  <c r="I190" i="9"/>
  <c r="G190" i="9"/>
  <c r="B190" i="9"/>
  <c r="E190" i="9"/>
  <c r="F190" i="9"/>
  <c r="K155" i="10"/>
  <c r="J155" i="10"/>
  <c r="I155" i="10"/>
  <c r="F155" i="10"/>
  <c r="E155" i="10"/>
  <c r="M155" i="10"/>
  <c r="L155" i="10"/>
  <c r="H155" i="10"/>
  <c r="G155" i="10"/>
  <c r="C155" i="10"/>
  <c r="N155" i="10"/>
  <c r="O155" i="10" s="1"/>
  <c r="B155" i="10"/>
  <c r="D155" i="10"/>
  <c r="G97" i="9"/>
  <c r="E97" i="9"/>
  <c r="F97" i="9"/>
  <c r="M97" i="9"/>
  <c r="N97" i="9" s="1"/>
  <c r="L97" i="9"/>
  <c r="J97" i="9"/>
  <c r="I97" i="9"/>
  <c r="B97" i="9"/>
  <c r="H97" i="9"/>
  <c r="K97" i="9"/>
  <c r="L10" i="9"/>
  <c r="K10" i="9"/>
  <c r="G10" i="9"/>
  <c r="F10" i="9"/>
  <c r="E10" i="9"/>
  <c r="B10" i="9"/>
  <c r="J10" i="9"/>
  <c r="I10" i="9"/>
  <c r="H10" i="9"/>
  <c r="K196" i="9"/>
  <c r="I196" i="9"/>
  <c r="H196" i="9"/>
  <c r="B196" i="9"/>
  <c r="L196" i="9"/>
  <c r="J196" i="9"/>
  <c r="G196" i="9"/>
  <c r="M196" i="9"/>
  <c r="N196" i="9" s="1"/>
  <c r="F196" i="9"/>
  <c r="E196" i="9"/>
  <c r="G119" i="9"/>
  <c r="F119" i="9"/>
  <c r="E119" i="9"/>
  <c r="L119" i="9"/>
  <c r="B119" i="9"/>
  <c r="M119" i="9"/>
  <c r="N119" i="9" s="1"/>
  <c r="K119" i="9"/>
  <c r="I119" i="9"/>
  <c r="J119" i="9"/>
  <c r="H119" i="9"/>
  <c r="E43" i="16"/>
  <c r="D43" i="16"/>
  <c r="C43" i="16"/>
  <c r="H43" i="16"/>
  <c r="I43" i="16" s="1"/>
  <c r="G43" i="16"/>
  <c r="F43" i="16"/>
  <c r="I80" i="7"/>
  <c r="H80" i="7"/>
  <c r="G80" i="7"/>
  <c r="D80" i="7"/>
  <c r="C80" i="7"/>
  <c r="E80" i="7"/>
  <c r="B80" i="7"/>
  <c r="K80" i="7"/>
  <c r="F80" i="7"/>
  <c r="M80" i="7"/>
  <c r="L80" i="7"/>
  <c r="J80" i="7"/>
  <c r="N80" i="7"/>
  <c r="O80" i="7" s="1"/>
  <c r="G68" i="18"/>
  <c r="E68" i="18"/>
  <c r="D68" i="18"/>
  <c r="H68" i="18"/>
  <c r="I68" i="18" s="1"/>
  <c r="F68" i="18"/>
  <c r="C68" i="18"/>
  <c r="I61" i="9"/>
  <c r="H61" i="9"/>
  <c r="G61" i="9"/>
  <c r="B61" i="9"/>
  <c r="E61" i="9"/>
  <c r="F61" i="9"/>
  <c r="M61" i="9"/>
  <c r="N61" i="9" s="1"/>
  <c r="L61" i="9"/>
  <c r="K61" i="9"/>
  <c r="J61" i="9"/>
  <c r="L100" i="9"/>
  <c r="F100" i="9"/>
  <c r="E100" i="9"/>
  <c r="J100" i="9"/>
  <c r="I100" i="9"/>
  <c r="H100" i="9"/>
  <c r="G100" i="9"/>
  <c r="M100" i="9"/>
  <c r="N100" i="9" s="1"/>
  <c r="K100" i="9"/>
  <c r="B100" i="9"/>
  <c r="H128" i="9"/>
  <c r="G128" i="9"/>
  <c r="F128" i="9"/>
  <c r="E128" i="9"/>
  <c r="I128" i="9"/>
  <c r="M128" i="9"/>
  <c r="N128" i="9" s="1"/>
  <c r="L128" i="9"/>
  <c r="K128" i="9"/>
  <c r="J128" i="9"/>
  <c r="B128" i="9"/>
  <c r="D199" i="8"/>
  <c r="C199" i="8"/>
  <c r="B199" i="8"/>
  <c r="L199" i="8"/>
  <c r="K199" i="8"/>
  <c r="G199" i="8"/>
  <c r="J199" i="8"/>
  <c r="I199" i="8"/>
  <c r="H199" i="8"/>
  <c r="M199" i="8"/>
  <c r="N199" i="8" s="1"/>
  <c r="J55" i="9"/>
  <c r="M55" i="9"/>
  <c r="N55" i="9" s="1"/>
  <c r="L55" i="9"/>
  <c r="H55" i="9"/>
  <c r="G55" i="9"/>
  <c r="K55" i="9"/>
  <c r="I55" i="9"/>
  <c r="F55" i="9"/>
  <c r="E55" i="9"/>
  <c r="B55" i="9"/>
  <c r="E62" i="7"/>
  <c r="D62" i="7"/>
  <c r="C62" i="7"/>
  <c r="B62" i="7"/>
  <c r="L62" i="7"/>
  <c r="J62" i="7"/>
  <c r="I62" i="7"/>
  <c r="H62" i="7"/>
  <c r="K62" i="7"/>
  <c r="G62" i="7"/>
  <c r="M62" i="7"/>
  <c r="F62" i="7"/>
  <c r="H38" i="16"/>
  <c r="I38" i="16" s="1"/>
  <c r="D38" i="16"/>
  <c r="C38" i="16"/>
  <c r="G38" i="16"/>
  <c r="F38" i="16"/>
  <c r="E38" i="16"/>
  <c r="L181" i="9"/>
  <c r="K181" i="9"/>
  <c r="I181" i="9"/>
  <c r="M181" i="9"/>
  <c r="N181" i="9" s="1"/>
  <c r="J181" i="9"/>
  <c r="H181" i="9"/>
  <c r="G181" i="9"/>
  <c r="F181" i="9"/>
  <c r="E181" i="9"/>
  <c r="B181" i="9"/>
  <c r="D116" i="7"/>
  <c r="C116" i="7"/>
  <c r="B116" i="7"/>
  <c r="K116" i="7"/>
  <c r="I116" i="7"/>
  <c r="H116" i="7"/>
  <c r="G116" i="7"/>
  <c r="J116" i="7"/>
  <c r="N116" i="7"/>
  <c r="O116" i="7" s="1"/>
  <c r="F116" i="7"/>
  <c r="M116" i="7"/>
  <c r="L116" i="7"/>
  <c r="E116" i="7"/>
  <c r="I68" i="7"/>
  <c r="H68" i="7"/>
  <c r="G68" i="7"/>
  <c r="D68" i="7"/>
  <c r="C68" i="7"/>
  <c r="F68" i="7"/>
  <c r="E68" i="7"/>
  <c r="B68" i="7"/>
  <c r="M68" i="7"/>
  <c r="K68" i="7"/>
  <c r="J68" i="7"/>
  <c r="L68" i="7"/>
  <c r="H81" i="9"/>
  <c r="M81" i="9"/>
  <c r="N81" i="9" s="1"/>
  <c r="L81" i="9"/>
  <c r="F81" i="9"/>
  <c r="B81" i="9"/>
  <c r="J81" i="9"/>
  <c r="I81" i="9"/>
  <c r="G81" i="9"/>
  <c r="E81" i="9"/>
  <c r="K81" i="9"/>
  <c r="C12" i="7"/>
  <c r="L12" i="7"/>
  <c r="K12" i="7"/>
  <c r="J12" i="7"/>
  <c r="I12" i="7"/>
  <c r="G12" i="7"/>
  <c r="H12" i="7"/>
  <c r="F12" i="7"/>
  <c r="E12" i="7"/>
  <c r="D12" i="7"/>
  <c r="B12" i="7"/>
  <c r="M12" i="7"/>
  <c r="N146" i="10"/>
  <c r="O146" i="10" s="1"/>
  <c r="M146" i="10"/>
  <c r="K146" i="10"/>
  <c r="I146" i="10"/>
  <c r="H146" i="10"/>
  <c r="G146" i="10"/>
  <c r="F146" i="10"/>
  <c r="D146" i="10"/>
  <c r="C146" i="10"/>
  <c r="B146" i="10"/>
  <c r="E146" i="10"/>
  <c r="J146" i="10"/>
  <c r="L146" i="10"/>
  <c r="B12" i="8"/>
  <c r="K12" i="8"/>
  <c r="J12" i="8"/>
  <c r="L12" i="8"/>
  <c r="C12" i="8"/>
  <c r="I12" i="8"/>
  <c r="H12" i="8"/>
  <c r="G12" i="8"/>
  <c r="D12" i="8"/>
  <c r="M129" i="9"/>
  <c r="N129" i="9" s="1"/>
  <c r="L129" i="9"/>
  <c r="K129" i="9"/>
  <c r="J129" i="9"/>
  <c r="E129" i="9"/>
  <c r="B129" i="9"/>
  <c r="I129" i="9"/>
  <c r="H129" i="9"/>
  <c r="G129" i="9"/>
  <c r="F129" i="9"/>
  <c r="C5" i="7"/>
  <c r="B5" i="7"/>
  <c r="H5" i="7"/>
  <c r="F5" i="7"/>
  <c r="E5" i="7"/>
  <c r="D5" i="7"/>
  <c r="K5" i="7"/>
  <c r="J5" i="7"/>
  <c r="G5" i="7"/>
  <c r="L5" i="7"/>
  <c r="M5" i="7"/>
  <c r="K41" i="9"/>
  <c r="M41" i="9"/>
  <c r="N41" i="9" s="1"/>
  <c r="J41" i="9"/>
  <c r="L41" i="9"/>
  <c r="B41" i="9"/>
  <c r="H41" i="9"/>
  <c r="F41" i="9"/>
  <c r="E41" i="9"/>
  <c r="G41" i="9"/>
  <c r="I41" i="9"/>
  <c r="J86" i="8"/>
  <c r="I86" i="8"/>
  <c r="H86" i="8"/>
  <c r="M86" i="8"/>
  <c r="N86" i="8" s="1"/>
  <c r="L86" i="8"/>
  <c r="D86" i="8"/>
  <c r="K86" i="8"/>
  <c r="G86" i="8"/>
  <c r="C86" i="8"/>
  <c r="B86" i="8"/>
  <c r="M58" i="7"/>
  <c r="F58" i="7"/>
  <c r="E58" i="7"/>
  <c r="D58" i="7"/>
  <c r="C58" i="7"/>
  <c r="B58" i="7"/>
  <c r="H58" i="7"/>
  <c r="G58" i="7"/>
  <c r="K58" i="7"/>
  <c r="I58" i="7"/>
  <c r="L58" i="7"/>
  <c r="J58" i="7"/>
  <c r="G129" i="7"/>
  <c r="F129" i="7"/>
  <c r="E129" i="7"/>
  <c r="B129" i="7"/>
  <c r="D129" i="7"/>
  <c r="C129" i="7"/>
  <c r="K129" i="7"/>
  <c r="L129" i="7"/>
  <c r="N129" i="7"/>
  <c r="O129" i="7" s="1"/>
  <c r="M129" i="7"/>
  <c r="I129" i="7"/>
  <c r="J129" i="7"/>
  <c r="H129" i="7"/>
  <c r="E27" i="10"/>
  <c r="D27" i="10"/>
  <c r="N27" i="10"/>
  <c r="O27" i="10" s="1"/>
  <c r="L27" i="10"/>
  <c r="K27" i="10"/>
  <c r="J27" i="10"/>
  <c r="I27" i="10"/>
  <c r="H27" i="10"/>
  <c r="F27" i="10"/>
  <c r="G27" i="10"/>
  <c r="C27" i="10"/>
  <c r="M27" i="10"/>
  <c r="B27" i="10"/>
  <c r="H125" i="8"/>
  <c r="G125" i="8"/>
  <c r="C125" i="8"/>
  <c r="M125" i="8"/>
  <c r="N125" i="8" s="1"/>
  <c r="L125" i="8"/>
  <c r="K125" i="8"/>
  <c r="I125" i="8"/>
  <c r="J125" i="8"/>
  <c r="D125" i="8"/>
  <c r="B125" i="8"/>
  <c r="B25" i="8"/>
  <c r="J25" i="8"/>
  <c r="I25" i="8"/>
  <c r="H25" i="8"/>
  <c r="G25" i="8"/>
  <c r="C25" i="8"/>
  <c r="D25" i="8"/>
  <c r="L25" i="8"/>
  <c r="K25" i="8"/>
  <c r="M144" i="8"/>
  <c r="N144" i="8" s="1"/>
  <c r="L144" i="8"/>
  <c r="J144" i="8"/>
  <c r="K144" i="8"/>
  <c r="I144" i="8"/>
  <c r="H144" i="8"/>
  <c r="G144" i="8"/>
  <c r="D144" i="8"/>
  <c r="C144" i="8"/>
  <c r="B144" i="8"/>
  <c r="C161" i="7"/>
  <c r="B161" i="7"/>
  <c r="H161" i="7"/>
  <c r="G161" i="7"/>
  <c r="F161" i="7"/>
  <c r="E161" i="7"/>
  <c r="M161" i="7"/>
  <c r="K161" i="7"/>
  <c r="J161" i="7"/>
  <c r="I161" i="7"/>
  <c r="D161" i="7"/>
  <c r="N161" i="7"/>
  <c r="O161" i="7" s="1"/>
  <c r="L161" i="7"/>
  <c r="G7" i="8"/>
  <c r="L7" i="8"/>
  <c r="K7" i="8"/>
  <c r="J7" i="8"/>
  <c r="I7" i="8"/>
  <c r="C7" i="8"/>
  <c r="B7" i="8"/>
  <c r="H7" i="8"/>
  <c r="D7" i="8"/>
  <c r="H62" i="9"/>
  <c r="J62" i="9"/>
  <c r="K62" i="9"/>
  <c r="I62" i="9"/>
  <c r="E62" i="9"/>
  <c r="B62" i="9"/>
  <c r="L62" i="9"/>
  <c r="G62" i="9"/>
  <c r="M62" i="9"/>
  <c r="N62" i="9" s="1"/>
  <c r="F62" i="9"/>
  <c r="H171" i="9"/>
  <c r="F171" i="9"/>
  <c r="E171" i="9"/>
  <c r="M171" i="9"/>
  <c r="N171" i="9" s="1"/>
  <c r="L171" i="9"/>
  <c r="K171" i="9"/>
  <c r="J171" i="9"/>
  <c r="G171" i="9"/>
  <c r="I171" i="9"/>
  <c r="B171" i="9"/>
  <c r="M33" i="9"/>
  <c r="N33" i="9" s="1"/>
  <c r="L33" i="9"/>
  <c r="H33" i="9"/>
  <c r="G33" i="9"/>
  <c r="F33" i="9"/>
  <c r="E33" i="9"/>
  <c r="J33" i="9"/>
  <c r="I33" i="9"/>
  <c r="B33" i="9"/>
  <c r="K33" i="9"/>
  <c r="I178" i="8"/>
  <c r="H178" i="8"/>
  <c r="G178" i="8"/>
  <c r="D178" i="8"/>
  <c r="C178" i="8"/>
  <c r="B178" i="8"/>
  <c r="J178" i="8"/>
  <c r="K178" i="8"/>
  <c r="M178" i="8"/>
  <c r="N178" i="8" s="1"/>
  <c r="L178" i="8"/>
  <c r="B174" i="9"/>
  <c r="G174" i="9"/>
  <c r="F174" i="9"/>
  <c r="L174" i="9"/>
  <c r="K174" i="9"/>
  <c r="E174" i="9"/>
  <c r="J174" i="9"/>
  <c r="I174" i="9"/>
  <c r="H174" i="9"/>
  <c r="M174" i="9"/>
  <c r="N174" i="9" s="1"/>
  <c r="M64" i="7"/>
  <c r="L64" i="7"/>
  <c r="K64" i="7"/>
  <c r="H64" i="7"/>
  <c r="G64" i="7"/>
  <c r="B64" i="7"/>
  <c r="J64" i="7"/>
  <c r="D64" i="7"/>
  <c r="I64" i="7"/>
  <c r="F64" i="7"/>
  <c r="E64" i="7"/>
  <c r="C64" i="7"/>
  <c r="G11" i="18"/>
  <c r="F11" i="18"/>
  <c r="D11" i="18"/>
  <c r="C11" i="18"/>
  <c r="E11" i="18"/>
  <c r="E200" i="9"/>
  <c r="B200" i="9"/>
  <c r="M200" i="9"/>
  <c r="N200" i="9" s="1"/>
  <c r="L200" i="9"/>
  <c r="H200" i="9"/>
  <c r="G200" i="9"/>
  <c r="K200" i="9"/>
  <c r="J200" i="9"/>
  <c r="I200" i="9"/>
  <c r="F200" i="9"/>
  <c r="H47" i="9"/>
  <c r="G47" i="9"/>
  <c r="F47" i="9"/>
  <c r="B47" i="9"/>
  <c r="E47" i="9"/>
  <c r="M47" i="9"/>
  <c r="N47" i="9" s="1"/>
  <c r="L47" i="9"/>
  <c r="J47" i="9"/>
  <c r="I47" i="9"/>
  <c r="K47" i="9"/>
  <c r="C124" i="8"/>
  <c r="B124" i="8"/>
  <c r="D124" i="8"/>
  <c r="J124" i="8"/>
  <c r="M124" i="8"/>
  <c r="N124" i="8" s="1"/>
  <c r="L124" i="8"/>
  <c r="G124" i="8"/>
  <c r="K124" i="8"/>
  <c r="H124" i="8"/>
  <c r="I124" i="8"/>
  <c r="H149" i="9"/>
  <c r="F149" i="9"/>
  <c r="E149" i="9"/>
  <c r="M149" i="9"/>
  <c r="N149" i="9" s="1"/>
  <c r="L149" i="9"/>
  <c r="K149" i="9"/>
  <c r="J149" i="9"/>
  <c r="I149" i="9"/>
  <c r="G149" i="9"/>
  <c r="B149" i="9"/>
  <c r="M160" i="7"/>
  <c r="L160" i="7"/>
  <c r="K160" i="7"/>
  <c r="J160" i="7"/>
  <c r="H160" i="7"/>
  <c r="D160" i="7"/>
  <c r="C160" i="7"/>
  <c r="B160" i="7"/>
  <c r="E160" i="7"/>
  <c r="N160" i="7"/>
  <c r="O160" i="7" s="1"/>
  <c r="I160" i="7"/>
  <c r="F160" i="7"/>
  <c r="G160" i="7"/>
  <c r="C146" i="8"/>
  <c r="B146" i="8"/>
  <c r="J146" i="8"/>
  <c r="I146" i="8"/>
  <c r="H146" i="8"/>
  <c r="G146" i="8"/>
  <c r="L146" i="8"/>
  <c r="K146" i="8"/>
  <c r="M146" i="8"/>
  <c r="N146" i="8" s="1"/>
  <c r="D146" i="8"/>
  <c r="I8" i="7"/>
  <c r="M8" i="7"/>
  <c r="L8" i="7"/>
  <c r="K8" i="7"/>
  <c r="H8" i="7"/>
  <c r="B8" i="7"/>
  <c r="J8" i="7"/>
  <c r="E8" i="7"/>
  <c r="D8" i="7"/>
  <c r="C8" i="7"/>
  <c r="G8" i="7"/>
  <c r="F8" i="7"/>
  <c r="I135" i="7"/>
  <c r="H135" i="7"/>
  <c r="G135" i="7"/>
  <c r="D135" i="7"/>
  <c r="C135" i="7"/>
  <c r="E135" i="7"/>
  <c r="B135" i="7"/>
  <c r="L135" i="7"/>
  <c r="J135" i="7"/>
  <c r="F135" i="7"/>
  <c r="M135" i="7"/>
  <c r="K135" i="7"/>
  <c r="N135" i="7"/>
  <c r="O135" i="7" s="1"/>
  <c r="I45" i="9"/>
  <c r="M45" i="9"/>
  <c r="N45" i="9" s="1"/>
  <c r="G45" i="9"/>
  <c r="F45" i="9"/>
  <c r="E45" i="9"/>
  <c r="B45" i="9"/>
  <c r="L45" i="9"/>
  <c r="J45" i="9"/>
  <c r="H45" i="9"/>
  <c r="K45" i="9"/>
  <c r="B74" i="9"/>
  <c r="L74" i="9"/>
  <c r="G74" i="9"/>
  <c r="M74" i="9"/>
  <c r="N74" i="9" s="1"/>
  <c r="K74" i="9"/>
  <c r="H74" i="9"/>
  <c r="F74" i="9"/>
  <c r="I74" i="9"/>
  <c r="E74" i="9"/>
  <c r="J74" i="9"/>
  <c r="F94" i="7"/>
  <c r="E94" i="7"/>
  <c r="D94" i="7"/>
  <c r="C94" i="7"/>
  <c r="M94" i="7"/>
  <c r="N94" i="7"/>
  <c r="O94" i="7" s="1"/>
  <c r="L94" i="7"/>
  <c r="H94" i="7"/>
  <c r="B94" i="7"/>
  <c r="K94" i="7"/>
  <c r="J94" i="7"/>
  <c r="I94" i="7"/>
  <c r="G94" i="7"/>
  <c r="B137" i="8"/>
  <c r="C137" i="8"/>
  <c r="J137" i="8"/>
  <c r="I137" i="8"/>
  <c r="H137" i="8"/>
  <c r="G137" i="8"/>
  <c r="D137" i="8"/>
  <c r="M137" i="8"/>
  <c r="N137" i="8" s="1"/>
  <c r="L137" i="8"/>
  <c r="K137" i="8"/>
  <c r="K73" i="8"/>
  <c r="J73" i="8"/>
  <c r="I73" i="8"/>
  <c r="D73" i="8"/>
  <c r="C73" i="8"/>
  <c r="B73" i="8"/>
  <c r="L73" i="8"/>
  <c r="H73" i="8"/>
  <c r="G73" i="8"/>
  <c r="M73" i="8"/>
  <c r="N73" i="8" s="1"/>
  <c r="C52" i="16"/>
  <c r="H52" i="16"/>
  <c r="I52" i="16" s="1"/>
  <c r="G52" i="16"/>
  <c r="D52" i="16"/>
  <c r="E52" i="16"/>
  <c r="F52" i="16"/>
  <c r="M201" i="8"/>
  <c r="N201" i="8" s="1"/>
  <c r="L201" i="8"/>
  <c r="K201" i="8"/>
  <c r="I201" i="8"/>
  <c r="J201" i="8"/>
  <c r="D201" i="8"/>
  <c r="H201" i="8"/>
  <c r="C201" i="8"/>
  <c r="G201" i="8"/>
  <c r="B201" i="8"/>
  <c r="G110" i="10"/>
  <c r="F110" i="10"/>
  <c r="E110" i="10"/>
  <c r="N110" i="10"/>
  <c r="O110" i="10" s="1"/>
  <c r="M110" i="10"/>
  <c r="L110" i="10"/>
  <c r="K110" i="10"/>
  <c r="I110" i="10"/>
  <c r="J110" i="10"/>
  <c r="D110" i="10"/>
  <c r="H110" i="10"/>
  <c r="C110" i="10"/>
  <c r="B110" i="10"/>
  <c r="D17" i="8"/>
  <c r="I17" i="8"/>
  <c r="C17" i="8"/>
  <c r="B17" i="8"/>
  <c r="L17" i="8"/>
  <c r="H17" i="8"/>
  <c r="G17" i="8"/>
  <c r="K17" i="8"/>
  <c r="J17" i="8"/>
  <c r="H16" i="18"/>
  <c r="I16" i="18" s="1"/>
  <c r="G16" i="18"/>
  <c r="F16" i="18"/>
  <c r="E16" i="18"/>
  <c r="D16" i="18"/>
  <c r="C16" i="18"/>
  <c r="F4" i="9"/>
  <c r="E4" i="9"/>
  <c r="H4" i="9"/>
  <c r="G4" i="9"/>
  <c r="L4" i="9"/>
  <c r="J4" i="9"/>
  <c r="I4" i="9"/>
  <c r="B4" i="9"/>
  <c r="K4" i="9"/>
  <c r="M134" i="9"/>
  <c r="N134" i="9" s="1"/>
  <c r="H134" i="9"/>
  <c r="I134" i="9"/>
  <c r="G134" i="9"/>
  <c r="F134" i="9"/>
  <c r="E134" i="9"/>
  <c r="L134" i="9"/>
  <c r="B134" i="9"/>
  <c r="K134" i="9"/>
  <c r="J134" i="9"/>
  <c r="B93" i="8"/>
  <c r="M93" i="8"/>
  <c r="N93" i="8" s="1"/>
  <c r="L93" i="8"/>
  <c r="G93" i="8"/>
  <c r="K93" i="8"/>
  <c r="H93" i="8"/>
  <c r="J93" i="8"/>
  <c r="I93" i="8"/>
  <c r="C93" i="8"/>
  <c r="D93" i="8"/>
  <c r="B127" i="9"/>
  <c r="E127" i="9"/>
  <c r="I127" i="9"/>
  <c r="H127" i="9"/>
  <c r="G127" i="9"/>
  <c r="F127" i="9"/>
  <c r="M127" i="9"/>
  <c r="N127" i="9" s="1"/>
  <c r="L127" i="9"/>
  <c r="J127" i="9"/>
  <c r="K127" i="9"/>
  <c r="M103" i="7"/>
  <c r="L103" i="7"/>
  <c r="K103" i="7"/>
  <c r="H103" i="7"/>
  <c r="G103" i="7"/>
  <c r="N103" i="7"/>
  <c r="O103" i="7" s="1"/>
  <c r="J103" i="7"/>
  <c r="I103" i="7"/>
  <c r="E103" i="7"/>
  <c r="F103" i="7"/>
  <c r="D103" i="7"/>
  <c r="C103" i="7"/>
  <c r="B103" i="7"/>
  <c r="G75" i="18"/>
  <c r="F75" i="18"/>
  <c r="H75" i="18"/>
  <c r="I75" i="18" s="1"/>
  <c r="E75" i="18"/>
  <c r="D75" i="18"/>
  <c r="C75" i="18"/>
  <c r="E101" i="9"/>
  <c r="M101" i="9"/>
  <c r="N101" i="9" s="1"/>
  <c r="L101" i="9"/>
  <c r="I101" i="9"/>
  <c r="H101" i="9"/>
  <c r="J101" i="9"/>
  <c r="G101" i="9"/>
  <c r="F101" i="9"/>
  <c r="K101" i="9"/>
  <c r="B101" i="9"/>
  <c r="M146" i="9"/>
  <c r="N146" i="9" s="1"/>
  <c r="J146" i="9"/>
  <c r="L146" i="9"/>
  <c r="K146" i="9"/>
  <c r="I146" i="9"/>
  <c r="H146" i="9"/>
  <c r="B146" i="9"/>
  <c r="G146" i="9"/>
  <c r="F146" i="9"/>
  <c r="E146" i="9"/>
  <c r="L21" i="8"/>
  <c r="K21" i="8"/>
  <c r="H21" i="8"/>
  <c r="J21" i="8"/>
  <c r="I21" i="8"/>
  <c r="G21" i="8"/>
  <c r="C21" i="8"/>
  <c r="D21" i="8"/>
  <c r="B21" i="8"/>
  <c r="G76" i="16"/>
  <c r="F76" i="16"/>
  <c r="E76" i="16"/>
  <c r="H76" i="16"/>
  <c r="I76" i="16" s="1"/>
  <c r="D76" i="16"/>
  <c r="C76" i="16"/>
  <c r="I124" i="7"/>
  <c r="H124" i="7"/>
  <c r="G124" i="7"/>
  <c r="D124" i="7"/>
  <c r="C124" i="7"/>
  <c r="N124" i="7"/>
  <c r="O124" i="7" s="1"/>
  <c r="M124" i="7"/>
  <c r="E124" i="7"/>
  <c r="B124" i="7"/>
  <c r="K124" i="7"/>
  <c r="J124" i="7"/>
  <c r="F124" i="7"/>
  <c r="L124" i="7"/>
  <c r="E105" i="7"/>
  <c r="D105" i="7"/>
  <c r="C105" i="7"/>
  <c r="B105" i="7"/>
  <c r="K105" i="7"/>
  <c r="J105" i="7"/>
  <c r="I105" i="7"/>
  <c r="H105" i="7"/>
  <c r="F105" i="7"/>
  <c r="M105" i="7"/>
  <c r="N105" i="7"/>
  <c r="O105" i="7" s="1"/>
  <c r="G105" i="7"/>
  <c r="L105" i="7"/>
  <c r="F27" i="9"/>
  <c r="E27" i="9"/>
  <c r="M27" i="9"/>
  <c r="N27" i="9" s="1"/>
  <c r="L27" i="9"/>
  <c r="J27" i="9"/>
  <c r="I27" i="9"/>
  <c r="H27" i="9"/>
  <c r="G27" i="9"/>
  <c r="B27" i="9"/>
  <c r="K27" i="9"/>
  <c r="M55" i="7"/>
  <c r="J55" i="7"/>
  <c r="I55" i="7"/>
  <c r="L55" i="7"/>
  <c r="K55" i="7"/>
  <c r="G55" i="7"/>
  <c r="H55" i="7"/>
  <c r="F55" i="7"/>
  <c r="C55" i="7"/>
  <c r="B55" i="7"/>
  <c r="D55" i="7"/>
  <c r="E55" i="7"/>
  <c r="M90" i="9"/>
  <c r="N90" i="9" s="1"/>
  <c r="B90" i="9"/>
  <c r="G90" i="9"/>
  <c r="E90" i="9"/>
  <c r="L90" i="9"/>
  <c r="J90" i="9"/>
  <c r="K90" i="9"/>
  <c r="I90" i="9"/>
  <c r="H90" i="9"/>
  <c r="F90" i="9"/>
  <c r="M135" i="8"/>
  <c r="N135" i="8" s="1"/>
  <c r="L135" i="8"/>
  <c r="K135" i="8"/>
  <c r="I135" i="8"/>
  <c r="D135" i="8"/>
  <c r="C135" i="8"/>
  <c r="B135" i="8"/>
  <c r="J135" i="8"/>
  <c r="G135" i="8"/>
  <c r="H135" i="8"/>
  <c r="H37" i="16"/>
  <c r="I37" i="16" s="1"/>
  <c r="G37" i="16"/>
  <c r="F37" i="16"/>
  <c r="C37" i="16"/>
  <c r="E37" i="16"/>
  <c r="D37" i="16"/>
  <c r="K130" i="7"/>
  <c r="J130" i="7"/>
  <c r="I130" i="7"/>
  <c r="F130" i="7"/>
  <c r="E130" i="7"/>
  <c r="B130" i="7"/>
  <c r="M130" i="7"/>
  <c r="H130" i="7"/>
  <c r="G130" i="7"/>
  <c r="L130" i="7"/>
  <c r="D130" i="7"/>
  <c r="C130" i="7"/>
  <c r="N130" i="7"/>
  <c r="O130" i="7" s="1"/>
  <c r="M180" i="7"/>
  <c r="L180" i="7"/>
  <c r="K180" i="7"/>
  <c r="H180" i="7"/>
  <c r="G180" i="7"/>
  <c r="C180" i="7"/>
  <c r="B180" i="7"/>
  <c r="N180" i="7"/>
  <c r="O180" i="7" s="1"/>
  <c r="J180" i="7"/>
  <c r="I180" i="7"/>
  <c r="F180" i="7"/>
  <c r="D180" i="7"/>
  <c r="E180" i="7"/>
  <c r="M69" i="7"/>
  <c r="L69" i="7"/>
  <c r="K69" i="7"/>
  <c r="H69" i="7"/>
  <c r="G69" i="7"/>
  <c r="J69" i="7"/>
  <c r="B69" i="7"/>
  <c r="I69" i="7"/>
  <c r="C69" i="7"/>
  <c r="F69" i="7"/>
  <c r="E69" i="7"/>
  <c r="D69" i="7"/>
  <c r="G10" i="16"/>
  <c r="E10" i="16"/>
  <c r="D10" i="16"/>
  <c r="C10" i="16"/>
  <c r="F10" i="16"/>
  <c r="K199" i="10"/>
  <c r="J199" i="10"/>
  <c r="N199" i="10"/>
  <c r="O199" i="10" s="1"/>
  <c r="M199" i="10"/>
  <c r="L199" i="10"/>
  <c r="G199" i="10"/>
  <c r="F199" i="10"/>
  <c r="E199" i="10"/>
  <c r="C199" i="10"/>
  <c r="B199" i="10"/>
  <c r="I199" i="10"/>
  <c r="H199" i="10"/>
  <c r="D199" i="10"/>
  <c r="M192" i="8"/>
  <c r="N192" i="8" s="1"/>
  <c r="L192" i="8"/>
  <c r="K192" i="8"/>
  <c r="J192" i="8"/>
  <c r="H192" i="8"/>
  <c r="I192" i="8"/>
  <c r="G192" i="8"/>
  <c r="D192" i="8"/>
  <c r="C192" i="8"/>
  <c r="B192" i="8"/>
  <c r="M197" i="8"/>
  <c r="N197" i="8" s="1"/>
  <c r="K197" i="8"/>
  <c r="D197" i="8"/>
  <c r="C197" i="8"/>
  <c r="B197" i="8"/>
  <c r="J197" i="8"/>
  <c r="I197" i="8"/>
  <c r="H197" i="8"/>
  <c r="G197" i="8"/>
  <c r="L197" i="8"/>
  <c r="I190" i="7"/>
  <c r="H190" i="7"/>
  <c r="G190" i="7"/>
  <c r="D190" i="7"/>
  <c r="C190" i="7"/>
  <c r="J190" i="7"/>
  <c r="F190" i="7"/>
  <c r="E190" i="7"/>
  <c r="B190" i="7"/>
  <c r="L190" i="7"/>
  <c r="K190" i="7"/>
  <c r="M190" i="7"/>
  <c r="N190" i="7"/>
  <c r="O190" i="7" s="1"/>
  <c r="G64" i="9"/>
  <c r="F64" i="9"/>
  <c r="E64" i="9"/>
  <c r="B64" i="9"/>
  <c r="L64" i="9"/>
  <c r="J64" i="9"/>
  <c r="I64" i="9"/>
  <c r="M64" i="9"/>
  <c r="N64" i="9" s="1"/>
  <c r="K64" i="9"/>
  <c r="H64" i="9"/>
  <c r="L137" i="7"/>
  <c r="K137" i="7"/>
  <c r="M137" i="7"/>
  <c r="D137" i="7"/>
  <c r="C137" i="7"/>
  <c r="B137" i="7"/>
  <c r="N137" i="7"/>
  <c r="O137" i="7" s="1"/>
  <c r="J137" i="7"/>
  <c r="F137" i="7"/>
  <c r="E137" i="7"/>
  <c r="G137" i="7"/>
  <c r="I137" i="7"/>
  <c r="H137" i="7"/>
  <c r="I91" i="7"/>
  <c r="H91" i="7"/>
  <c r="G91" i="7"/>
  <c r="D91" i="7"/>
  <c r="C91" i="7"/>
  <c r="B91" i="7"/>
  <c r="N91" i="7"/>
  <c r="O91" i="7" s="1"/>
  <c r="M91" i="7"/>
  <c r="L91" i="7"/>
  <c r="J91" i="7"/>
  <c r="E91" i="7"/>
  <c r="F91" i="7"/>
  <c r="K91" i="7"/>
  <c r="N179" i="10"/>
  <c r="O179" i="10" s="1"/>
  <c r="M179" i="10"/>
  <c r="L179" i="10"/>
  <c r="J179" i="10"/>
  <c r="H179" i="10"/>
  <c r="K179" i="10"/>
  <c r="G179" i="10"/>
  <c r="I179" i="10"/>
  <c r="D179" i="10"/>
  <c r="F179" i="10"/>
  <c r="E179" i="10"/>
  <c r="C179" i="10"/>
  <c r="B179" i="10"/>
  <c r="D111" i="8"/>
  <c r="B111" i="8"/>
  <c r="I111" i="8"/>
  <c r="H111" i="8"/>
  <c r="G111" i="8"/>
  <c r="K111" i="8"/>
  <c r="J111" i="8"/>
  <c r="C111" i="8"/>
  <c r="L111" i="8"/>
  <c r="M111" i="8"/>
  <c r="N111" i="8" s="1"/>
  <c r="B80" i="8"/>
  <c r="J80" i="8"/>
  <c r="I80" i="8"/>
  <c r="M80" i="8"/>
  <c r="N80" i="8" s="1"/>
  <c r="L80" i="8"/>
  <c r="K80" i="8"/>
  <c r="G80" i="8"/>
  <c r="H80" i="8"/>
  <c r="D80" i="8"/>
  <c r="C80" i="8"/>
  <c r="E67" i="7"/>
  <c r="D67" i="7"/>
  <c r="C67" i="7"/>
  <c r="K67" i="7"/>
  <c r="J67" i="7"/>
  <c r="L67" i="7"/>
  <c r="M67" i="7"/>
  <c r="I67" i="7"/>
  <c r="H67" i="7"/>
  <c r="G67" i="7"/>
  <c r="F67" i="7"/>
  <c r="B67" i="7"/>
  <c r="L150" i="8"/>
  <c r="K150" i="8"/>
  <c r="H150" i="8"/>
  <c r="M150" i="8"/>
  <c r="N150" i="8" s="1"/>
  <c r="J150" i="8"/>
  <c r="I150" i="8"/>
  <c r="C150" i="8"/>
  <c r="B150" i="8"/>
  <c r="G150" i="8"/>
  <c r="D150" i="8"/>
  <c r="N142" i="7"/>
  <c r="O142" i="7" s="1"/>
  <c r="M142" i="7"/>
  <c r="J142" i="7"/>
  <c r="I142" i="7"/>
  <c r="L142" i="7"/>
  <c r="K142" i="7"/>
  <c r="H142" i="7"/>
  <c r="G142" i="7"/>
  <c r="E142" i="7"/>
  <c r="D142" i="7"/>
  <c r="C142" i="7"/>
  <c r="B142" i="7"/>
  <c r="F142" i="7"/>
  <c r="E22" i="10"/>
  <c r="C22" i="10"/>
  <c r="B22" i="10"/>
  <c r="G22" i="10"/>
  <c r="F22" i="10"/>
  <c r="D22" i="10"/>
  <c r="L22" i="10"/>
  <c r="K22" i="10"/>
  <c r="J22" i="10"/>
  <c r="I22" i="10"/>
  <c r="H22" i="10"/>
  <c r="M22" i="10"/>
  <c r="I13" i="8"/>
  <c r="L13" i="8"/>
  <c r="K13" i="8"/>
  <c r="J13" i="8"/>
  <c r="H13" i="8"/>
  <c r="G13" i="8"/>
  <c r="D13" i="8"/>
  <c r="C13" i="8"/>
  <c r="B13" i="8"/>
  <c r="K107" i="10"/>
  <c r="B107" i="10"/>
  <c r="I107" i="10"/>
  <c r="H107" i="10"/>
  <c r="G107" i="10"/>
  <c r="F107" i="10"/>
  <c r="D107" i="10"/>
  <c r="N107" i="10"/>
  <c r="O107" i="10" s="1"/>
  <c r="M107" i="10"/>
  <c r="J107" i="10"/>
  <c r="L107" i="10"/>
  <c r="E107" i="10"/>
  <c r="C107" i="10"/>
  <c r="G23" i="16"/>
  <c r="F23" i="16"/>
  <c r="H23" i="16"/>
  <c r="I23" i="16" s="1"/>
  <c r="E23" i="16"/>
  <c r="D23" i="16"/>
  <c r="C23" i="16"/>
  <c r="M29" i="7"/>
  <c r="I29" i="7"/>
  <c r="H29" i="7"/>
  <c r="G29" i="7"/>
  <c r="F29" i="7"/>
  <c r="D29" i="7"/>
  <c r="C29" i="7"/>
  <c r="B29" i="7"/>
  <c r="E29" i="7"/>
  <c r="L29" i="7"/>
  <c r="K29" i="7"/>
  <c r="J29" i="7"/>
  <c r="I182" i="10"/>
  <c r="H182" i="10"/>
  <c r="G182" i="10"/>
  <c r="D182" i="10"/>
  <c r="C182" i="10"/>
  <c r="M182" i="10"/>
  <c r="N182" i="10"/>
  <c r="O182" i="10" s="1"/>
  <c r="L182" i="10"/>
  <c r="K182" i="10"/>
  <c r="F182" i="10"/>
  <c r="E182" i="10"/>
  <c r="J182" i="10"/>
  <c r="B182" i="10"/>
  <c r="G118" i="7"/>
  <c r="F118" i="7"/>
  <c r="E118" i="7"/>
  <c r="B118" i="7"/>
  <c r="N118" i="7"/>
  <c r="O118" i="7" s="1"/>
  <c r="C118" i="7"/>
  <c r="L118" i="7"/>
  <c r="K118" i="7"/>
  <c r="J118" i="7"/>
  <c r="I118" i="7"/>
  <c r="D118" i="7"/>
  <c r="M118" i="7"/>
  <c r="H118" i="7"/>
  <c r="G81" i="8"/>
  <c r="B81" i="8"/>
  <c r="J81" i="8"/>
  <c r="I81" i="8"/>
  <c r="H81" i="8"/>
  <c r="C81" i="8"/>
  <c r="K81" i="8"/>
  <c r="D81" i="8"/>
  <c r="M81" i="8"/>
  <c r="N81" i="8" s="1"/>
  <c r="L81" i="8"/>
  <c r="N99" i="7"/>
  <c r="M99" i="7"/>
  <c r="J99" i="7"/>
  <c r="I99" i="7"/>
  <c r="H99" i="7"/>
  <c r="G99" i="7"/>
  <c r="E99" i="7"/>
  <c r="C99" i="7"/>
  <c r="K99" i="7"/>
  <c r="F99" i="7"/>
  <c r="D99" i="7"/>
  <c r="B99" i="7"/>
  <c r="O99" i="7"/>
  <c r="L99" i="7"/>
  <c r="C34" i="7"/>
  <c r="B34" i="7"/>
  <c r="M34" i="7"/>
  <c r="K34" i="7"/>
  <c r="L34" i="7"/>
  <c r="F34" i="7"/>
  <c r="J34" i="7"/>
  <c r="I34" i="7"/>
  <c r="H34" i="7"/>
  <c r="E34" i="7"/>
  <c r="D34" i="7"/>
  <c r="G34" i="7"/>
  <c r="G195" i="7"/>
  <c r="F195" i="7"/>
  <c r="E195" i="7"/>
  <c r="B195" i="7"/>
  <c r="N195" i="7"/>
  <c r="O195" i="7" s="1"/>
  <c r="M195" i="7"/>
  <c r="L195" i="7"/>
  <c r="K195" i="7"/>
  <c r="I195" i="7"/>
  <c r="J195" i="7"/>
  <c r="C195" i="7"/>
  <c r="H195" i="7"/>
  <c r="D195" i="7"/>
  <c r="M87" i="9"/>
  <c r="N87" i="9" s="1"/>
  <c r="L87" i="9"/>
  <c r="K87" i="9"/>
  <c r="J87" i="9"/>
  <c r="H87" i="9"/>
  <c r="B87" i="9"/>
  <c r="G87" i="9"/>
  <c r="E87" i="9"/>
  <c r="I87" i="9"/>
  <c r="F87" i="9"/>
  <c r="L82" i="7"/>
  <c r="K82" i="7"/>
  <c r="E82" i="7"/>
  <c r="H82" i="7"/>
  <c r="F82" i="7"/>
  <c r="D82" i="7"/>
  <c r="C82" i="7"/>
  <c r="N82" i="7"/>
  <c r="O82" i="7" s="1"/>
  <c r="B82" i="7"/>
  <c r="M82" i="7"/>
  <c r="J82" i="7"/>
  <c r="I82" i="7"/>
  <c r="G82" i="7"/>
  <c r="K19" i="9"/>
  <c r="J19" i="9"/>
  <c r="L19" i="9"/>
  <c r="I19" i="9"/>
  <c r="H19" i="9"/>
  <c r="F19" i="9"/>
  <c r="E19" i="9"/>
  <c r="B19" i="9"/>
  <c r="G19" i="9"/>
  <c r="B183" i="9"/>
  <c r="F183" i="9"/>
  <c r="E183" i="9"/>
  <c r="M183" i="9"/>
  <c r="N183" i="9" s="1"/>
  <c r="I183" i="9"/>
  <c r="H183" i="9"/>
  <c r="L183" i="9"/>
  <c r="K183" i="9"/>
  <c r="J183" i="9"/>
  <c r="G183" i="9"/>
  <c r="G29" i="16"/>
  <c r="F29" i="16"/>
  <c r="E29" i="16"/>
  <c r="H29" i="16"/>
  <c r="I29" i="16" s="1"/>
  <c r="D29" i="16"/>
  <c r="C29" i="16"/>
  <c r="G7" i="18"/>
  <c r="F7" i="18"/>
  <c r="C7" i="18"/>
  <c r="E7" i="18"/>
  <c r="D7" i="18"/>
  <c r="L18" i="10"/>
  <c r="K18" i="10"/>
  <c r="J18" i="10"/>
  <c r="H18" i="10"/>
  <c r="F18" i="10"/>
  <c r="E18" i="10"/>
  <c r="D18" i="10"/>
  <c r="C18" i="10"/>
  <c r="B18" i="10"/>
  <c r="M18" i="10"/>
  <c r="G18" i="10"/>
  <c r="K174" i="7"/>
  <c r="J174" i="7"/>
  <c r="I174" i="7"/>
  <c r="F174" i="7"/>
  <c r="E174" i="7"/>
  <c r="M174" i="7"/>
  <c r="L174" i="7"/>
  <c r="H174" i="7"/>
  <c r="G174" i="7"/>
  <c r="C174" i="7"/>
  <c r="N174" i="7"/>
  <c r="O174" i="7" s="1"/>
  <c r="D174" i="7"/>
  <c r="B174" i="7"/>
  <c r="F9" i="7"/>
  <c r="E9" i="7"/>
  <c r="D9" i="7"/>
  <c r="C9" i="7"/>
  <c r="I9" i="7"/>
  <c r="H9" i="7"/>
  <c r="G9" i="7"/>
  <c r="B9" i="7"/>
  <c r="J9" i="7"/>
  <c r="K9" i="7"/>
  <c r="M9" i="7"/>
  <c r="L9" i="7"/>
  <c r="D54" i="16"/>
  <c r="F54" i="16"/>
  <c r="E54" i="16"/>
  <c r="C54" i="16"/>
  <c r="H54" i="16"/>
  <c r="I54" i="16" s="1"/>
  <c r="G54" i="16"/>
  <c r="M170" i="8"/>
  <c r="L170" i="8"/>
  <c r="K170" i="8"/>
  <c r="J170" i="8"/>
  <c r="H170" i="8"/>
  <c r="D170" i="8"/>
  <c r="C170" i="8"/>
  <c r="B170" i="8"/>
  <c r="N170" i="8"/>
  <c r="I170" i="8"/>
  <c r="G170" i="8"/>
  <c r="I19" i="8"/>
  <c r="L19" i="8"/>
  <c r="K19" i="8"/>
  <c r="J19" i="8"/>
  <c r="H19" i="8"/>
  <c r="G19" i="8"/>
  <c r="C19" i="8"/>
  <c r="B19" i="8"/>
  <c r="D19" i="8"/>
  <c r="M179" i="8"/>
  <c r="N179" i="8" s="1"/>
  <c r="L179" i="8"/>
  <c r="K179" i="8"/>
  <c r="I179" i="8"/>
  <c r="H179" i="8"/>
  <c r="B179" i="8"/>
  <c r="G179" i="8"/>
  <c r="C179" i="8"/>
  <c r="D179" i="8"/>
  <c r="J179" i="8"/>
  <c r="L192" i="7"/>
  <c r="K192" i="7"/>
  <c r="M192" i="7"/>
  <c r="J192" i="7"/>
  <c r="I192" i="7"/>
  <c r="H192" i="7"/>
  <c r="F192" i="7"/>
  <c r="G192" i="7"/>
  <c r="E192" i="7"/>
  <c r="D192" i="7"/>
  <c r="C192" i="7"/>
  <c r="N192" i="7"/>
  <c r="O192" i="7" s="1"/>
  <c r="B192" i="7"/>
  <c r="D24" i="8"/>
  <c r="C24" i="8"/>
  <c r="I24" i="8"/>
  <c r="H24" i="8"/>
  <c r="G24" i="8"/>
  <c r="B24" i="8"/>
  <c r="L24" i="8"/>
  <c r="K24" i="8"/>
  <c r="J24" i="8"/>
  <c r="G43" i="18"/>
  <c r="F43" i="18"/>
  <c r="D43" i="18"/>
  <c r="C43" i="18"/>
  <c r="H43" i="18"/>
  <c r="I43" i="18" s="1"/>
  <c r="E43" i="18"/>
  <c r="K104" i="9"/>
  <c r="J104" i="9"/>
  <c r="H104" i="9"/>
  <c r="G104" i="9"/>
  <c r="F104" i="9"/>
  <c r="E104" i="9"/>
  <c r="M104" i="9"/>
  <c r="N104" i="9" s="1"/>
  <c r="L104" i="9"/>
  <c r="I104" i="9"/>
  <c r="B104" i="9"/>
  <c r="M203" i="9"/>
  <c r="N203" i="9" s="1"/>
  <c r="L203" i="9"/>
  <c r="K203" i="9"/>
  <c r="I203" i="9"/>
  <c r="E203" i="9"/>
  <c r="B203" i="9"/>
  <c r="J203" i="9"/>
  <c r="G203" i="9"/>
  <c r="F203" i="9"/>
  <c r="H203" i="9"/>
  <c r="J169" i="9"/>
  <c r="I169" i="9"/>
  <c r="H169" i="9"/>
  <c r="G169" i="9"/>
  <c r="F169" i="9"/>
  <c r="E169" i="9"/>
  <c r="B169" i="9"/>
  <c r="K169" i="9"/>
  <c r="M169" i="9"/>
  <c r="N169" i="9" s="1"/>
  <c r="L169" i="9"/>
  <c r="I44" i="7"/>
  <c r="H44" i="7"/>
  <c r="G44" i="7"/>
  <c r="D44" i="7"/>
  <c r="C44" i="7"/>
  <c r="L44" i="7"/>
  <c r="K44" i="7"/>
  <c r="J44" i="7"/>
  <c r="F44" i="7"/>
  <c r="B44" i="7"/>
  <c r="E44" i="7"/>
  <c r="M44" i="7"/>
  <c r="D98" i="8"/>
  <c r="C98" i="8"/>
  <c r="B98" i="8"/>
  <c r="M98" i="8"/>
  <c r="N98" i="8" s="1"/>
  <c r="L98" i="8"/>
  <c r="K98" i="8"/>
  <c r="J98" i="8"/>
  <c r="H98" i="8"/>
  <c r="I98" i="8"/>
  <c r="G98" i="8"/>
  <c r="K86" i="9"/>
  <c r="J86" i="9"/>
  <c r="I86" i="9"/>
  <c r="H86" i="9"/>
  <c r="E86" i="9"/>
  <c r="L86" i="9"/>
  <c r="M86" i="9"/>
  <c r="N86" i="9" s="1"/>
  <c r="G86" i="9"/>
  <c r="F86" i="9"/>
  <c r="B86" i="9"/>
  <c r="L78" i="7"/>
  <c r="K78" i="7"/>
  <c r="J78" i="7"/>
  <c r="I78" i="7"/>
  <c r="G78" i="7"/>
  <c r="M78" i="7"/>
  <c r="N78" i="7"/>
  <c r="O78" i="7" s="1"/>
  <c r="F78" i="7"/>
  <c r="E78" i="7"/>
  <c r="D78" i="7"/>
  <c r="C78" i="7"/>
  <c r="B78" i="7"/>
  <c r="H78" i="7"/>
  <c r="J167" i="9"/>
  <c r="H167" i="9"/>
  <c r="G167" i="9"/>
  <c r="E167" i="9"/>
  <c r="M167" i="9"/>
  <c r="N167" i="9" s="1"/>
  <c r="L167" i="9"/>
  <c r="I167" i="9"/>
  <c r="F167" i="9"/>
  <c r="B167" i="9"/>
  <c r="K167" i="9"/>
  <c r="D186" i="8"/>
  <c r="C186" i="8"/>
  <c r="B186" i="8"/>
  <c r="H186" i="8"/>
  <c r="G186" i="8"/>
  <c r="I186" i="8"/>
  <c r="L186" i="8"/>
  <c r="K186" i="8"/>
  <c r="M186" i="8"/>
  <c r="N186" i="8" s="1"/>
  <c r="J186" i="8"/>
  <c r="H48" i="7"/>
  <c r="G48" i="7"/>
  <c r="D48" i="7"/>
  <c r="C48" i="7"/>
  <c r="J48" i="7"/>
  <c r="F48" i="7"/>
  <c r="E48" i="7"/>
  <c r="B48" i="7"/>
  <c r="M48" i="7"/>
  <c r="K48" i="7"/>
  <c r="L48" i="7"/>
  <c r="K52" i="9"/>
  <c r="J52" i="9"/>
  <c r="B52" i="9"/>
  <c r="H52" i="9"/>
  <c r="G52" i="9"/>
  <c r="F52" i="9"/>
  <c r="E52" i="9"/>
  <c r="M52" i="9"/>
  <c r="N52" i="9" s="1"/>
  <c r="I52" i="9"/>
  <c r="L52" i="9"/>
  <c r="L24" i="9"/>
  <c r="B24" i="9"/>
  <c r="K24" i="9"/>
  <c r="J24" i="9"/>
  <c r="H24" i="9"/>
  <c r="F24" i="9"/>
  <c r="M24" i="9" s="1"/>
  <c r="I24" i="9"/>
  <c r="G24" i="9"/>
  <c r="E24" i="9"/>
  <c r="N197" i="7"/>
  <c r="O197" i="7" s="1"/>
  <c r="M197" i="7"/>
  <c r="J197" i="7"/>
  <c r="I197" i="7"/>
  <c r="E197" i="7"/>
  <c r="D197" i="7"/>
  <c r="C197" i="7"/>
  <c r="B197" i="7"/>
  <c r="L197" i="7"/>
  <c r="H197" i="7"/>
  <c r="G197" i="7"/>
  <c r="F197" i="7"/>
  <c r="K197" i="7"/>
  <c r="G7" i="16"/>
  <c r="C7" i="16"/>
  <c r="D7" i="16"/>
  <c r="F7" i="16"/>
  <c r="E7" i="16"/>
  <c r="M68" i="9"/>
  <c r="N68" i="9" s="1"/>
  <c r="L68" i="9"/>
  <c r="I68" i="9"/>
  <c r="H68" i="9"/>
  <c r="J68" i="9"/>
  <c r="F68" i="9"/>
  <c r="E68" i="9"/>
  <c r="K68" i="9"/>
  <c r="G68" i="9"/>
  <c r="B68" i="9"/>
  <c r="M66" i="7"/>
  <c r="L66" i="7"/>
  <c r="K66" i="7"/>
  <c r="J66" i="7"/>
  <c r="H66" i="7"/>
  <c r="G66" i="7"/>
  <c r="F66" i="7"/>
  <c r="B66" i="7"/>
  <c r="I66" i="7"/>
  <c r="E66" i="7"/>
  <c r="D66" i="7"/>
  <c r="C66" i="7"/>
  <c r="G69" i="18"/>
  <c r="F69" i="18"/>
  <c r="D69" i="18"/>
  <c r="C69" i="18"/>
  <c r="E69" i="18"/>
  <c r="H69" i="18"/>
  <c r="I69" i="18" s="1"/>
  <c r="H93" i="16"/>
  <c r="I93" i="16" s="1"/>
  <c r="E93" i="16"/>
  <c r="C93" i="16"/>
  <c r="G93" i="16"/>
  <c r="F93" i="16"/>
  <c r="D93" i="16"/>
  <c r="E123" i="7"/>
  <c r="D123" i="7"/>
  <c r="C123" i="7"/>
  <c r="N123" i="7"/>
  <c r="O123" i="7" s="1"/>
  <c r="L123" i="7"/>
  <c r="G123" i="7"/>
  <c r="F123" i="7"/>
  <c r="B123" i="7"/>
  <c r="I123" i="7"/>
  <c r="J123" i="7"/>
  <c r="H123" i="7"/>
  <c r="M123" i="7"/>
  <c r="K123" i="7"/>
  <c r="H95" i="16"/>
  <c r="I95" i="16" s="1"/>
  <c r="F95" i="16"/>
  <c r="D95" i="16"/>
  <c r="G95" i="16"/>
  <c r="C95" i="16"/>
  <c r="E95" i="16"/>
  <c r="M157" i="8"/>
  <c r="N157" i="8" s="1"/>
  <c r="L157" i="8"/>
  <c r="K157" i="8"/>
  <c r="I157" i="8"/>
  <c r="J157" i="8"/>
  <c r="H157" i="8"/>
  <c r="G157" i="8"/>
  <c r="D157" i="8"/>
  <c r="C157" i="8"/>
  <c r="B157" i="8"/>
  <c r="L46" i="8"/>
  <c r="K46" i="8"/>
  <c r="J46" i="8"/>
  <c r="I46" i="8"/>
  <c r="C46" i="8"/>
  <c r="H46" i="8"/>
  <c r="D46" i="8"/>
  <c r="G46" i="8"/>
  <c r="B46" i="8"/>
  <c r="M100" i="8"/>
  <c r="N100" i="8" s="1"/>
  <c r="L100" i="8"/>
  <c r="K100" i="8"/>
  <c r="H100" i="8"/>
  <c r="G100" i="8"/>
  <c r="J100" i="8"/>
  <c r="I100" i="8"/>
  <c r="D100" i="8"/>
  <c r="C100" i="8"/>
  <c r="B100" i="8"/>
  <c r="K36" i="7"/>
  <c r="J36" i="7"/>
  <c r="I36" i="7"/>
  <c r="F36" i="7"/>
  <c r="E36" i="7"/>
  <c r="M36" i="7"/>
  <c r="H36" i="7"/>
  <c r="C36" i="7"/>
  <c r="D36" i="7"/>
  <c r="B36" i="7"/>
  <c r="G36" i="7"/>
  <c r="L36" i="7"/>
  <c r="G77" i="10"/>
  <c r="J77" i="10"/>
  <c r="I77" i="10"/>
  <c r="D77" i="10"/>
  <c r="K77" i="10"/>
  <c r="H77" i="10"/>
  <c r="F77" i="10"/>
  <c r="E77" i="10"/>
  <c r="C77" i="10"/>
  <c r="B77" i="10"/>
  <c r="M77" i="10"/>
  <c r="L77" i="10"/>
  <c r="N77" i="10"/>
  <c r="O77" i="10" s="1"/>
  <c r="D10" i="18"/>
  <c r="C10" i="18"/>
  <c r="G10" i="18"/>
  <c r="F10" i="18"/>
  <c r="E10" i="18"/>
  <c r="G73" i="18"/>
  <c r="F73" i="18"/>
  <c r="D73" i="18"/>
  <c r="H73" i="18"/>
  <c r="I73" i="18" s="1"/>
  <c r="E73" i="18"/>
  <c r="C73" i="18"/>
  <c r="G95" i="18"/>
  <c r="F95" i="18"/>
  <c r="D95" i="18"/>
  <c r="E95" i="18"/>
  <c r="C95" i="18"/>
  <c r="H95" i="18"/>
  <c r="I95" i="18" s="1"/>
  <c r="K111" i="9"/>
  <c r="J111" i="9"/>
  <c r="I111" i="9"/>
  <c r="F111" i="9"/>
  <c r="E111" i="9"/>
  <c r="H111" i="9"/>
  <c r="G111" i="9"/>
  <c r="B111" i="9"/>
  <c r="M111" i="9"/>
  <c r="N111" i="9" s="1"/>
  <c r="L111" i="9"/>
  <c r="E189" i="7"/>
  <c r="D189" i="7"/>
  <c r="C189" i="7"/>
  <c r="K189" i="7"/>
  <c r="J189" i="7"/>
  <c r="I189" i="7"/>
  <c r="H189" i="7"/>
  <c r="F189" i="7"/>
  <c r="N189" i="7"/>
  <c r="O189" i="7" s="1"/>
  <c r="M189" i="7"/>
  <c r="L189" i="7"/>
  <c r="B189" i="7"/>
  <c r="G189" i="7"/>
  <c r="H42" i="16"/>
  <c r="I42" i="16" s="1"/>
  <c r="G42" i="16"/>
  <c r="F42" i="16"/>
  <c r="C42" i="16"/>
  <c r="E42" i="16"/>
  <c r="D42" i="16"/>
  <c r="D76" i="8"/>
  <c r="C76" i="8"/>
  <c r="B76" i="8"/>
  <c r="G76" i="8"/>
  <c r="M76" i="8"/>
  <c r="N76" i="8" s="1"/>
  <c r="K76" i="8"/>
  <c r="L76" i="8"/>
  <c r="J76" i="8"/>
  <c r="H76" i="8"/>
  <c r="I76" i="8"/>
  <c r="E167" i="7"/>
  <c r="D167" i="7"/>
  <c r="C167" i="7"/>
  <c r="M167" i="7"/>
  <c r="L167" i="7"/>
  <c r="K167" i="7"/>
  <c r="J167" i="7"/>
  <c r="H167" i="7"/>
  <c r="F167" i="7"/>
  <c r="G167" i="7"/>
  <c r="N167" i="7"/>
  <c r="O167" i="7" s="1"/>
  <c r="B167" i="7"/>
  <c r="I167" i="7"/>
  <c r="K99" i="9"/>
  <c r="F99" i="9"/>
  <c r="M99" i="9"/>
  <c r="N99" i="9" s="1"/>
  <c r="L99" i="9"/>
  <c r="I99" i="9"/>
  <c r="J99" i="9"/>
  <c r="H99" i="9"/>
  <c r="B99" i="9"/>
  <c r="G99" i="9"/>
  <c r="E99" i="9"/>
  <c r="B172" i="8"/>
  <c r="K172" i="8"/>
  <c r="G172" i="8"/>
  <c r="M172" i="8"/>
  <c r="N172" i="8" s="1"/>
  <c r="D172" i="8"/>
  <c r="L172" i="8"/>
  <c r="H172" i="8"/>
  <c r="C172" i="8"/>
  <c r="J172" i="8"/>
  <c r="I172" i="8"/>
  <c r="L126" i="7"/>
  <c r="K126" i="7"/>
  <c r="N126" i="7"/>
  <c r="O126" i="7" s="1"/>
  <c r="M126" i="7"/>
  <c r="F126" i="7"/>
  <c r="J126" i="7"/>
  <c r="I126" i="7"/>
  <c r="D126" i="7"/>
  <c r="H126" i="7"/>
  <c r="G126" i="7"/>
  <c r="E126" i="7"/>
  <c r="C126" i="7"/>
  <c r="B126" i="7"/>
  <c r="B72" i="9"/>
  <c r="I72" i="9"/>
  <c r="G72" i="9"/>
  <c r="F72" i="9"/>
  <c r="E72" i="9"/>
  <c r="K72" i="9"/>
  <c r="J72" i="9"/>
  <c r="H72" i="9"/>
  <c r="M72" i="9"/>
  <c r="N72" i="9" s="1"/>
  <c r="L72" i="9"/>
  <c r="M63" i="9"/>
  <c r="N63" i="9" s="1"/>
  <c r="J63" i="9"/>
  <c r="L63" i="9"/>
  <c r="B63" i="9"/>
  <c r="G63" i="9"/>
  <c r="E63" i="9"/>
  <c r="I63" i="9"/>
  <c r="H63" i="9"/>
  <c r="F63" i="9"/>
  <c r="K63" i="9"/>
  <c r="M171" i="7"/>
  <c r="L171" i="7"/>
  <c r="N171" i="7"/>
  <c r="O171" i="7" s="1"/>
  <c r="B171" i="7"/>
  <c r="I171" i="7"/>
  <c r="F171" i="7"/>
  <c r="C171" i="7"/>
  <c r="K171" i="7"/>
  <c r="J171" i="7"/>
  <c r="H171" i="7"/>
  <c r="D171" i="7"/>
  <c r="G171" i="7"/>
  <c r="E171" i="7"/>
  <c r="N124" i="10"/>
  <c r="O124" i="10" s="1"/>
  <c r="M124" i="10"/>
  <c r="J124" i="10"/>
  <c r="I124" i="10"/>
  <c r="H124" i="10"/>
  <c r="G124" i="10"/>
  <c r="E124" i="10"/>
  <c r="K124" i="10"/>
  <c r="D124" i="10"/>
  <c r="C124" i="10"/>
  <c r="B124" i="10"/>
  <c r="F124" i="10"/>
  <c r="L124" i="10"/>
  <c r="J143" i="8"/>
  <c r="I143" i="8"/>
  <c r="H143" i="8"/>
  <c r="G143" i="8"/>
  <c r="D143" i="8"/>
  <c r="C143" i="8"/>
  <c r="B143" i="8"/>
  <c r="M143" i="8"/>
  <c r="N143" i="8" s="1"/>
  <c r="L143" i="8"/>
  <c r="K143" i="8"/>
  <c r="N153" i="7"/>
  <c r="O153" i="7" s="1"/>
  <c r="M153" i="7"/>
  <c r="J153" i="7"/>
  <c r="I153" i="7"/>
  <c r="K153" i="7"/>
  <c r="H153" i="7"/>
  <c r="G153" i="7"/>
  <c r="F153" i="7"/>
  <c r="D153" i="7"/>
  <c r="B153" i="7"/>
  <c r="E153" i="7"/>
  <c r="C153" i="7"/>
  <c r="L153" i="7"/>
  <c r="G21" i="10"/>
  <c r="F21" i="10"/>
  <c r="K21" i="10"/>
  <c r="J21" i="10"/>
  <c r="H21" i="10"/>
  <c r="D21" i="10"/>
  <c r="M21" i="10"/>
  <c r="L21" i="10"/>
  <c r="E21" i="10"/>
  <c r="N21" i="10" s="1"/>
  <c r="B21" i="10"/>
  <c r="C21" i="10"/>
  <c r="G50" i="7"/>
  <c r="F50" i="7"/>
  <c r="E50" i="7"/>
  <c r="B50" i="7"/>
  <c r="C50" i="7"/>
  <c r="M50" i="7"/>
  <c r="K50" i="7"/>
  <c r="D50" i="7"/>
  <c r="J50" i="7"/>
  <c r="L50" i="7"/>
  <c r="H50" i="7"/>
  <c r="N131" i="7"/>
  <c r="O131" i="7" s="1"/>
  <c r="M131" i="7"/>
  <c r="J131" i="7"/>
  <c r="I131" i="7"/>
  <c r="L131" i="7"/>
  <c r="K131" i="7"/>
  <c r="H131" i="7"/>
  <c r="F131" i="7"/>
  <c r="C131" i="7"/>
  <c r="B131" i="7"/>
  <c r="E131" i="7"/>
  <c r="G131" i="7"/>
  <c r="D131" i="7"/>
  <c r="B6" i="9"/>
  <c r="K6" i="9"/>
  <c r="F6" i="9"/>
  <c r="E6" i="9"/>
  <c r="H6" i="9"/>
  <c r="G6" i="9"/>
  <c r="I6" i="9"/>
  <c r="J6" i="9"/>
  <c r="L6" i="9"/>
  <c r="K47" i="7"/>
  <c r="J47" i="7"/>
  <c r="I47" i="7"/>
  <c r="H47" i="7"/>
  <c r="F47" i="7"/>
  <c r="L47" i="7"/>
  <c r="D47" i="7"/>
  <c r="C47" i="7"/>
  <c r="M47" i="7"/>
  <c r="B47" i="7"/>
  <c r="G47" i="7"/>
  <c r="E47" i="7"/>
  <c r="B159" i="8"/>
  <c r="G159" i="8"/>
  <c r="D159" i="8"/>
  <c r="M159" i="8"/>
  <c r="N159" i="8" s="1"/>
  <c r="C159" i="8"/>
  <c r="J159" i="8"/>
  <c r="H159" i="8"/>
  <c r="L159" i="8"/>
  <c r="I159" i="8"/>
  <c r="K159" i="8"/>
  <c r="D92" i="16"/>
  <c r="C92" i="16"/>
  <c r="H92" i="16"/>
  <c r="I92" i="16" s="1"/>
  <c r="E92" i="16"/>
  <c r="G92" i="16"/>
  <c r="F92" i="16"/>
  <c r="E145" i="7"/>
  <c r="D145" i="7"/>
  <c r="C145" i="7"/>
  <c r="N145" i="7"/>
  <c r="O145" i="7" s="1"/>
  <c r="M145" i="7"/>
  <c r="L145" i="7"/>
  <c r="J145" i="7"/>
  <c r="F145" i="7"/>
  <c r="G145" i="7"/>
  <c r="B145" i="7"/>
  <c r="H145" i="7"/>
  <c r="K145" i="7"/>
  <c r="I145" i="7"/>
  <c r="D94" i="18"/>
  <c r="C94" i="18"/>
  <c r="H94" i="18"/>
  <c r="I94" i="18" s="1"/>
  <c r="G94" i="18"/>
  <c r="E94" i="18"/>
  <c r="F94" i="18"/>
  <c r="G99" i="10"/>
  <c r="F99" i="10"/>
  <c r="L99" i="10"/>
  <c r="H99" i="10"/>
  <c r="E99" i="10"/>
  <c r="D99" i="10"/>
  <c r="C99" i="10"/>
  <c r="N99" i="10"/>
  <c r="O99" i="10" s="1"/>
  <c r="M99" i="10"/>
  <c r="K99" i="10"/>
  <c r="I99" i="10"/>
  <c r="J99" i="10"/>
  <c r="B99" i="10"/>
  <c r="H79" i="16"/>
  <c r="I79" i="16" s="1"/>
  <c r="E79" i="16"/>
  <c r="D79" i="16"/>
  <c r="C79" i="16"/>
  <c r="F79" i="16"/>
  <c r="G79" i="16"/>
  <c r="N187" i="7"/>
  <c r="O187" i="7" s="1"/>
  <c r="M187" i="7"/>
  <c r="L187" i="7"/>
  <c r="J187" i="7"/>
  <c r="F187" i="7"/>
  <c r="D187" i="7"/>
  <c r="C187" i="7"/>
  <c r="E187" i="7"/>
  <c r="G187" i="7"/>
  <c r="B187" i="7"/>
  <c r="K187" i="7"/>
  <c r="I187" i="7"/>
  <c r="H187" i="7"/>
  <c r="D133" i="8"/>
  <c r="C133" i="8"/>
  <c r="B133" i="8"/>
  <c r="M133" i="8"/>
  <c r="N133" i="8" s="1"/>
  <c r="L133" i="8"/>
  <c r="K133" i="8"/>
  <c r="J133" i="8"/>
  <c r="G133" i="8"/>
  <c r="I133" i="8"/>
  <c r="H133" i="8"/>
  <c r="I112" i="8"/>
  <c r="H112" i="8"/>
  <c r="G112" i="8"/>
  <c r="D112" i="8"/>
  <c r="C112" i="8"/>
  <c r="B112" i="8"/>
  <c r="J112" i="8"/>
  <c r="M112" i="8"/>
  <c r="N112" i="8" s="1"/>
  <c r="L112" i="8"/>
  <c r="K112" i="8"/>
  <c r="K44" i="8"/>
  <c r="J44" i="8"/>
  <c r="I44" i="8"/>
  <c r="D44" i="8"/>
  <c r="B44" i="8"/>
  <c r="C44" i="8"/>
  <c r="L44" i="8"/>
  <c r="H44" i="8"/>
  <c r="G44" i="8"/>
  <c r="F13" i="16"/>
  <c r="E13" i="16"/>
  <c r="D13" i="16"/>
  <c r="G13" i="16"/>
  <c r="C13" i="16"/>
  <c r="M92" i="7"/>
  <c r="L92" i="7"/>
  <c r="K92" i="7"/>
  <c r="H92" i="7"/>
  <c r="G92" i="7"/>
  <c r="N92" i="7"/>
  <c r="O92" i="7" s="1"/>
  <c r="J92" i="7"/>
  <c r="F92" i="7"/>
  <c r="I92" i="7"/>
  <c r="D92" i="7"/>
  <c r="E92" i="7"/>
  <c r="C92" i="7"/>
  <c r="B92" i="7"/>
  <c r="M16" i="10"/>
  <c r="K16" i="10"/>
  <c r="F16" i="10"/>
  <c r="E16" i="10"/>
  <c r="D16" i="10"/>
  <c r="C16" i="10"/>
  <c r="H16" i="10"/>
  <c r="L16" i="10"/>
  <c r="J16" i="10"/>
  <c r="G16" i="10"/>
  <c r="B16" i="10"/>
  <c r="G63" i="18"/>
  <c r="F63" i="18"/>
  <c r="H63" i="18"/>
  <c r="I63" i="18" s="1"/>
  <c r="D63" i="18"/>
  <c r="C63" i="18"/>
  <c r="E63" i="18"/>
  <c r="G21" i="18"/>
  <c r="F21" i="18"/>
  <c r="H21" i="18"/>
  <c r="I21" i="18" s="1"/>
  <c r="C21" i="18"/>
  <c r="E21" i="18"/>
  <c r="D21" i="18"/>
  <c r="D30" i="18"/>
  <c r="C30" i="18"/>
  <c r="H30" i="18"/>
  <c r="I30" i="18" s="1"/>
  <c r="G30" i="18"/>
  <c r="F30" i="18"/>
  <c r="E30" i="18"/>
  <c r="K59" i="9"/>
  <c r="M59" i="9"/>
  <c r="N59" i="9" s="1"/>
  <c r="B59" i="9"/>
  <c r="J59" i="9"/>
  <c r="I59" i="9"/>
  <c r="H59" i="9"/>
  <c r="G59" i="9"/>
  <c r="E59" i="9"/>
  <c r="F59" i="9"/>
  <c r="L59" i="9"/>
  <c r="K32" i="7"/>
  <c r="J32" i="7"/>
  <c r="F32" i="7"/>
  <c r="E32" i="7"/>
  <c r="M32" i="7"/>
  <c r="L32" i="7"/>
  <c r="H32" i="7"/>
  <c r="D32" i="7"/>
  <c r="G32" i="7"/>
  <c r="B32" i="7"/>
  <c r="C32" i="7"/>
  <c r="L184" i="10"/>
  <c r="K184" i="10"/>
  <c r="I184" i="10"/>
  <c r="H184" i="10"/>
  <c r="F184" i="10"/>
  <c r="D184" i="10"/>
  <c r="N184" i="10"/>
  <c r="O184" i="10" s="1"/>
  <c r="J184" i="10"/>
  <c r="G184" i="10"/>
  <c r="B184" i="10"/>
  <c r="M184" i="10"/>
  <c r="C184" i="10"/>
  <c r="E184" i="10"/>
  <c r="I146" i="7"/>
  <c r="H146" i="7"/>
  <c r="G146" i="7"/>
  <c r="D146" i="7"/>
  <c r="C146" i="7"/>
  <c r="N146" i="7"/>
  <c r="O146" i="7" s="1"/>
  <c r="L146" i="7"/>
  <c r="K146" i="7"/>
  <c r="J146" i="7"/>
  <c r="F146" i="7"/>
  <c r="E146" i="7"/>
  <c r="B146" i="7"/>
  <c r="M146" i="7"/>
  <c r="J187" i="8"/>
  <c r="I187" i="8"/>
  <c r="H187" i="8"/>
  <c r="G187" i="8"/>
  <c r="K187" i="8"/>
  <c r="B187" i="8"/>
  <c r="D187" i="8"/>
  <c r="C187" i="8"/>
  <c r="L187" i="8"/>
  <c r="M187" i="8"/>
  <c r="N187" i="8" s="1"/>
  <c r="E26" i="18"/>
  <c r="D26" i="18"/>
  <c r="C26" i="18"/>
  <c r="G26" i="18"/>
  <c r="F26" i="18"/>
  <c r="H26" i="18"/>
  <c r="I26" i="18" s="1"/>
  <c r="C131" i="10"/>
  <c r="B131" i="10"/>
  <c r="H131" i="10"/>
  <c r="G131" i="10"/>
  <c r="M131" i="10"/>
  <c r="L131" i="10"/>
  <c r="K131" i="10"/>
  <c r="J131" i="10"/>
  <c r="F131" i="10"/>
  <c r="N131" i="10"/>
  <c r="O131" i="10" s="1"/>
  <c r="I131" i="10"/>
  <c r="E131" i="10"/>
  <c r="D131" i="10"/>
  <c r="E90" i="7"/>
  <c r="D90" i="7"/>
  <c r="C90" i="7"/>
  <c r="B90" i="7"/>
  <c r="L90" i="7"/>
  <c r="J90" i="7"/>
  <c r="I90" i="7"/>
  <c r="H90" i="7"/>
  <c r="N90" i="7"/>
  <c r="O90" i="7" s="1"/>
  <c r="K90" i="7"/>
  <c r="M90" i="7"/>
  <c r="G90" i="7"/>
  <c r="F90" i="7"/>
  <c r="L23" i="9"/>
  <c r="K23" i="9"/>
  <c r="H23" i="9"/>
  <c r="G23" i="9"/>
  <c r="J23" i="9"/>
  <c r="I23" i="9"/>
  <c r="B23" i="9"/>
  <c r="F23" i="9"/>
  <c r="E23" i="9"/>
  <c r="M172" i="9"/>
  <c r="N172" i="9" s="1"/>
  <c r="K172" i="9"/>
  <c r="J172" i="9"/>
  <c r="H172" i="9"/>
  <c r="I172" i="9"/>
  <c r="G172" i="9"/>
  <c r="F172" i="9"/>
  <c r="E172" i="9"/>
  <c r="B172" i="9"/>
  <c r="L172" i="9"/>
  <c r="L148" i="7"/>
  <c r="K148" i="7"/>
  <c r="N148" i="7"/>
  <c r="O148" i="7" s="1"/>
  <c r="J148" i="7"/>
  <c r="M148" i="7"/>
  <c r="H148" i="7"/>
  <c r="E148" i="7"/>
  <c r="D148" i="7"/>
  <c r="B148" i="7"/>
  <c r="I148" i="7"/>
  <c r="G148" i="7"/>
  <c r="F148" i="7"/>
  <c r="C148" i="7"/>
  <c r="J26" i="8"/>
  <c r="I26" i="8"/>
  <c r="H26" i="8"/>
  <c r="L26" i="8"/>
  <c r="K26" i="8"/>
  <c r="C26" i="8"/>
  <c r="D26" i="8"/>
  <c r="B26" i="8"/>
  <c r="G26" i="8"/>
  <c r="L142" i="9"/>
  <c r="K142" i="9"/>
  <c r="J142" i="9"/>
  <c r="I142" i="9"/>
  <c r="G142" i="9"/>
  <c r="B142" i="9"/>
  <c r="M142" i="9"/>
  <c r="N142" i="9" s="1"/>
  <c r="F142" i="9"/>
  <c r="E142" i="9"/>
  <c r="H142" i="9"/>
  <c r="H87" i="16"/>
  <c r="I87" i="16" s="1"/>
  <c r="G87" i="16"/>
  <c r="F87" i="16"/>
  <c r="D87" i="16"/>
  <c r="C87" i="16"/>
  <c r="E87" i="16"/>
  <c r="H85" i="16"/>
  <c r="I85" i="16" s="1"/>
  <c r="G85" i="16"/>
  <c r="F85" i="16"/>
  <c r="E85" i="16"/>
  <c r="C85" i="16"/>
  <c r="D85" i="16"/>
  <c r="F119" i="10"/>
  <c r="E119" i="10"/>
  <c r="D119" i="10"/>
  <c r="C119" i="10"/>
  <c r="G119" i="10"/>
  <c r="B119" i="10"/>
  <c r="L119" i="10"/>
  <c r="K119" i="10"/>
  <c r="J119" i="10"/>
  <c r="N119" i="10"/>
  <c r="O119" i="10" s="1"/>
  <c r="M119" i="10"/>
  <c r="I119" i="10"/>
  <c r="H119" i="10"/>
  <c r="E155" i="7"/>
  <c r="D155" i="7"/>
  <c r="C155" i="7"/>
  <c r="B155" i="7"/>
  <c r="F155" i="7"/>
  <c r="N155" i="7"/>
  <c r="O155" i="7" s="1"/>
  <c r="M155" i="7"/>
  <c r="L155" i="7"/>
  <c r="K155" i="7"/>
  <c r="J155" i="7"/>
  <c r="I155" i="7"/>
  <c r="H155" i="7"/>
  <c r="G155" i="7"/>
  <c r="F17" i="16"/>
  <c r="E17" i="16"/>
  <c r="D17" i="16"/>
  <c r="G17" i="16"/>
  <c r="C17" i="16"/>
  <c r="F191" i="9"/>
  <c r="E191" i="9"/>
  <c r="G191" i="9"/>
  <c r="B191" i="9"/>
  <c r="I191" i="9"/>
  <c r="J191" i="9"/>
  <c r="M191" i="9"/>
  <c r="N191" i="9" s="1"/>
  <c r="H191" i="9"/>
  <c r="L191" i="9"/>
  <c r="K191" i="9"/>
  <c r="G47" i="18"/>
  <c r="F47" i="18"/>
  <c r="D47" i="18"/>
  <c r="C47" i="18"/>
  <c r="H47" i="18"/>
  <c r="I47" i="18" s="1"/>
  <c r="E47" i="18"/>
  <c r="G143" i="10"/>
  <c r="F143" i="10"/>
  <c r="E143" i="10"/>
  <c r="B143" i="10"/>
  <c r="K143" i="10"/>
  <c r="N143" i="10"/>
  <c r="O143" i="10" s="1"/>
  <c r="L143" i="10"/>
  <c r="J143" i="10"/>
  <c r="I143" i="10"/>
  <c r="H143" i="10"/>
  <c r="D143" i="10"/>
  <c r="M143" i="10"/>
  <c r="C143" i="10"/>
  <c r="K188" i="10"/>
  <c r="J188" i="10"/>
  <c r="I188" i="10"/>
  <c r="F188" i="10"/>
  <c r="E188" i="10"/>
  <c r="N188" i="10"/>
  <c r="O188" i="10" s="1"/>
  <c r="M188" i="10"/>
  <c r="L188" i="10"/>
  <c r="H188" i="10"/>
  <c r="C188" i="10"/>
  <c r="G188" i="10"/>
  <c r="D188" i="10"/>
  <c r="B188" i="10"/>
  <c r="N35" i="10"/>
  <c r="O35" i="10" s="1"/>
  <c r="J35" i="10"/>
  <c r="H35" i="10"/>
  <c r="G35" i="10"/>
  <c r="F35" i="10"/>
  <c r="E35" i="10"/>
  <c r="B35" i="10"/>
  <c r="M35" i="10"/>
  <c r="D35" i="10"/>
  <c r="C35" i="10"/>
  <c r="I35" i="10"/>
  <c r="L35" i="10"/>
  <c r="K35" i="10"/>
  <c r="K78" i="10"/>
  <c r="N78" i="10"/>
  <c r="O78" i="10" s="1"/>
  <c r="I78" i="10"/>
  <c r="E78" i="10"/>
  <c r="D78" i="10"/>
  <c r="C78" i="10"/>
  <c r="B78" i="10"/>
  <c r="M78" i="10"/>
  <c r="J78" i="10"/>
  <c r="G78" i="10"/>
  <c r="F78" i="10"/>
  <c r="H78" i="10"/>
  <c r="L78" i="10"/>
  <c r="I94" i="10"/>
  <c r="H94" i="10"/>
  <c r="C94" i="10"/>
  <c r="F94" i="10"/>
  <c r="E94" i="10"/>
  <c r="L94" i="10"/>
  <c r="K94" i="10"/>
  <c r="J94" i="10"/>
  <c r="G94" i="10"/>
  <c r="B94" i="10"/>
  <c r="M94" i="10"/>
  <c r="N94" i="10"/>
  <c r="O94" i="10" s="1"/>
  <c r="D94" i="10"/>
  <c r="M109" i="9"/>
  <c r="N109" i="9" s="1"/>
  <c r="H109" i="9"/>
  <c r="J109" i="9"/>
  <c r="I109" i="9"/>
  <c r="E109" i="9"/>
  <c r="B109" i="9"/>
  <c r="K109" i="9"/>
  <c r="G109" i="9"/>
  <c r="F109" i="9"/>
  <c r="L109" i="9"/>
  <c r="E112" i="7"/>
  <c r="D112" i="7"/>
  <c r="C112" i="7"/>
  <c r="M112" i="7"/>
  <c r="N112" i="7"/>
  <c r="O112" i="7" s="1"/>
  <c r="K112" i="7"/>
  <c r="J112" i="7"/>
  <c r="I112" i="7"/>
  <c r="H112" i="7"/>
  <c r="L112" i="7"/>
  <c r="G112" i="7"/>
  <c r="F112" i="7"/>
  <c r="B112" i="7"/>
  <c r="I14" i="10"/>
  <c r="H14" i="10"/>
  <c r="G14" i="10"/>
  <c r="F14" i="10"/>
  <c r="D14" i="10"/>
  <c r="L14" i="10"/>
  <c r="M14" i="10"/>
  <c r="K14" i="10"/>
  <c r="J14" i="10"/>
  <c r="C14" i="10"/>
  <c r="B14" i="10"/>
  <c r="E14" i="10"/>
  <c r="L46" i="7"/>
  <c r="K46" i="7"/>
  <c r="C46" i="7"/>
  <c r="B46" i="7"/>
  <c r="D46" i="7"/>
  <c r="G46" i="7"/>
  <c r="M46" i="7"/>
  <c r="J46" i="7"/>
  <c r="H46" i="7"/>
  <c r="F46" i="7"/>
  <c r="E46" i="7"/>
  <c r="I46" i="7"/>
  <c r="K141" i="7"/>
  <c r="J141" i="7"/>
  <c r="I141" i="7"/>
  <c r="F141" i="7"/>
  <c r="E141" i="7"/>
  <c r="B141" i="7"/>
  <c r="M141" i="7"/>
  <c r="C141" i="7"/>
  <c r="L141" i="7"/>
  <c r="H141" i="7"/>
  <c r="G141" i="7"/>
  <c r="D141" i="7"/>
  <c r="N141" i="7"/>
  <c r="O141" i="7" s="1"/>
  <c r="K185" i="7"/>
  <c r="J185" i="7"/>
  <c r="I185" i="7"/>
  <c r="F185" i="7"/>
  <c r="E185" i="7"/>
  <c r="L185" i="7"/>
  <c r="N185" i="7"/>
  <c r="O185" i="7" s="1"/>
  <c r="M185" i="7"/>
  <c r="C185" i="7"/>
  <c r="B185" i="7"/>
  <c r="H185" i="7"/>
  <c r="G185" i="7"/>
  <c r="D185" i="7"/>
  <c r="M125" i="9"/>
  <c r="N125" i="9" s="1"/>
  <c r="L125" i="9"/>
  <c r="G125" i="9"/>
  <c r="H125" i="9"/>
  <c r="F125" i="9"/>
  <c r="E125" i="9"/>
  <c r="B125" i="9"/>
  <c r="J125" i="9"/>
  <c r="I125" i="9"/>
  <c r="K125" i="9"/>
  <c r="F18" i="16"/>
  <c r="G18" i="16"/>
  <c r="C18" i="16"/>
  <c r="E18" i="16"/>
  <c r="D18" i="16"/>
  <c r="G140" i="7"/>
  <c r="F140" i="7"/>
  <c r="E140" i="7"/>
  <c r="B140" i="7"/>
  <c r="N140" i="7"/>
  <c r="O140" i="7" s="1"/>
  <c r="M140" i="7"/>
  <c r="K140" i="7"/>
  <c r="D140" i="7"/>
  <c r="J140" i="7"/>
  <c r="I140" i="7"/>
  <c r="H140" i="7"/>
  <c r="C140" i="7"/>
  <c r="L140" i="7"/>
  <c r="N109" i="7"/>
  <c r="O109" i="7" s="1"/>
  <c r="M109" i="7"/>
  <c r="J109" i="7"/>
  <c r="I109" i="7"/>
  <c r="L109" i="7"/>
  <c r="H109" i="7"/>
  <c r="G109" i="7"/>
  <c r="F109" i="7"/>
  <c r="E109" i="7"/>
  <c r="D109" i="7"/>
  <c r="B109" i="7"/>
  <c r="K109" i="7"/>
  <c r="C109" i="7"/>
  <c r="D194" i="8"/>
  <c r="C194" i="8"/>
  <c r="M194" i="8"/>
  <c r="N194" i="8" s="1"/>
  <c r="I194" i="8"/>
  <c r="L194" i="8"/>
  <c r="K194" i="8"/>
  <c r="H194" i="8"/>
  <c r="J194" i="8"/>
  <c r="G194" i="8"/>
  <c r="B194" i="8"/>
  <c r="H70" i="18"/>
  <c r="I70" i="18" s="1"/>
  <c r="G70" i="18"/>
  <c r="F70" i="18"/>
  <c r="C70" i="18"/>
  <c r="E70" i="18"/>
  <c r="D70" i="18"/>
  <c r="I116" i="10"/>
  <c r="H116" i="10"/>
  <c r="G116" i="10"/>
  <c r="C116" i="10"/>
  <c r="F116" i="10"/>
  <c r="E116" i="10"/>
  <c r="D116" i="10"/>
  <c r="B116" i="10"/>
  <c r="K116" i="10"/>
  <c r="J116" i="10"/>
  <c r="L116" i="10"/>
  <c r="N116" i="10"/>
  <c r="O116" i="10" s="1"/>
  <c r="M116" i="10"/>
  <c r="M177" i="9"/>
  <c r="N177" i="9" s="1"/>
  <c r="K177" i="9"/>
  <c r="B177" i="9"/>
  <c r="J177" i="9"/>
  <c r="I177" i="9"/>
  <c r="G177" i="9"/>
  <c r="F177" i="9"/>
  <c r="E177" i="9"/>
  <c r="L177" i="9"/>
  <c r="H177" i="9"/>
  <c r="N176" i="7"/>
  <c r="M176" i="7"/>
  <c r="O176" i="7"/>
  <c r="K176" i="7"/>
  <c r="I176" i="7"/>
  <c r="H176" i="7"/>
  <c r="G176" i="7"/>
  <c r="F176" i="7"/>
  <c r="D176" i="7"/>
  <c r="J176" i="7"/>
  <c r="E176" i="7"/>
  <c r="C176" i="7"/>
  <c r="B176" i="7"/>
  <c r="L176" i="7"/>
  <c r="M188" i="8"/>
  <c r="N188" i="8" s="1"/>
  <c r="L188" i="8"/>
  <c r="J188" i="8"/>
  <c r="I188" i="8"/>
  <c r="K188" i="8"/>
  <c r="G188" i="8"/>
  <c r="H188" i="8"/>
  <c r="C188" i="8"/>
  <c r="B188" i="8"/>
  <c r="D188" i="8"/>
  <c r="M109" i="8"/>
  <c r="N109" i="8" s="1"/>
  <c r="L109" i="8"/>
  <c r="D109" i="8"/>
  <c r="C109" i="8"/>
  <c r="B109" i="8"/>
  <c r="K109" i="8"/>
  <c r="J109" i="8"/>
  <c r="I109" i="8"/>
  <c r="H109" i="8"/>
  <c r="G109" i="8"/>
  <c r="C89" i="8"/>
  <c r="B89" i="8"/>
  <c r="M89" i="8"/>
  <c r="N89" i="8" s="1"/>
  <c r="H89" i="8"/>
  <c r="L89" i="8"/>
  <c r="J89" i="8"/>
  <c r="K89" i="8"/>
  <c r="G89" i="8"/>
  <c r="I89" i="8"/>
  <c r="D89" i="8"/>
  <c r="C172" i="7"/>
  <c r="B172" i="7"/>
  <c r="G172" i="7"/>
  <c r="F172" i="7"/>
  <c r="E172" i="7"/>
  <c r="D172" i="7"/>
  <c r="M172" i="7"/>
  <c r="L172" i="7"/>
  <c r="K172" i="7"/>
  <c r="J172" i="7"/>
  <c r="H172" i="7"/>
  <c r="N172" i="7"/>
  <c r="O172" i="7" s="1"/>
  <c r="I172" i="7"/>
  <c r="N175" i="7"/>
  <c r="O175" i="7" s="1"/>
  <c r="M175" i="7"/>
  <c r="J175" i="7"/>
  <c r="I175" i="7"/>
  <c r="G175" i="7"/>
  <c r="F175" i="7"/>
  <c r="E175" i="7"/>
  <c r="D175" i="7"/>
  <c r="B175" i="7"/>
  <c r="K175" i="7"/>
  <c r="H175" i="7"/>
  <c r="C175" i="7"/>
  <c r="L175" i="7"/>
  <c r="E137" i="10"/>
  <c r="D137" i="10"/>
  <c r="C137" i="10"/>
  <c r="M137" i="10"/>
  <c r="L137" i="10"/>
  <c r="H137" i="10"/>
  <c r="J137" i="10"/>
  <c r="I137" i="10"/>
  <c r="G137" i="10"/>
  <c r="N137" i="10"/>
  <c r="O137" i="10" s="1"/>
  <c r="F137" i="10"/>
  <c r="B137" i="10"/>
  <c r="K137" i="10"/>
  <c r="F50" i="18"/>
  <c r="E50" i="18"/>
  <c r="G50" i="18"/>
  <c r="D50" i="18"/>
  <c r="H50" i="18"/>
  <c r="I50" i="18" s="1"/>
  <c r="C50" i="18"/>
  <c r="M69" i="8"/>
  <c r="N69" i="8" s="1"/>
  <c r="L69" i="8"/>
  <c r="K69" i="8"/>
  <c r="J69" i="8"/>
  <c r="H69" i="8"/>
  <c r="G69" i="8"/>
  <c r="I69" i="8"/>
  <c r="B69" i="8"/>
  <c r="C69" i="8"/>
  <c r="D69" i="8"/>
  <c r="G8" i="18"/>
  <c r="F8" i="18"/>
  <c r="D8" i="18"/>
  <c r="C8" i="18"/>
  <c r="E8" i="18"/>
  <c r="H121" i="9"/>
  <c r="L121" i="9"/>
  <c r="K121" i="9"/>
  <c r="J121" i="9"/>
  <c r="I121" i="9"/>
  <c r="F121" i="9"/>
  <c r="M121" i="9"/>
  <c r="N121" i="9" s="1"/>
  <c r="G121" i="9"/>
  <c r="E121" i="9"/>
  <c r="B121" i="9"/>
  <c r="H61" i="16"/>
  <c r="I61" i="16" s="1"/>
  <c r="F61" i="16"/>
  <c r="E61" i="16"/>
  <c r="D61" i="16"/>
  <c r="G61" i="16"/>
  <c r="C61" i="16"/>
  <c r="G50" i="16"/>
  <c r="F50" i="16"/>
  <c r="E50" i="16"/>
  <c r="H50" i="16"/>
  <c r="I50" i="16" s="1"/>
  <c r="D50" i="16"/>
  <c r="C50" i="16"/>
  <c r="L70" i="7"/>
  <c r="K70" i="7"/>
  <c r="M70" i="7"/>
  <c r="J70" i="7"/>
  <c r="H70" i="7"/>
  <c r="F70" i="7"/>
  <c r="E70" i="7"/>
  <c r="D70" i="7"/>
  <c r="G70" i="7"/>
  <c r="C70" i="7"/>
  <c r="I70" i="7"/>
  <c r="B70" i="7"/>
  <c r="G23" i="7"/>
  <c r="F23" i="7"/>
  <c r="E23" i="7"/>
  <c r="B23" i="7"/>
  <c r="H23" i="7"/>
  <c r="D23" i="7"/>
  <c r="C23" i="7"/>
  <c r="I23" i="7"/>
  <c r="L23" i="7"/>
  <c r="J23" i="7"/>
  <c r="M23" i="7"/>
  <c r="K23" i="7"/>
  <c r="L17" i="10"/>
  <c r="J17" i="10"/>
  <c r="C17" i="10"/>
  <c r="B17" i="10"/>
  <c r="F17" i="10"/>
  <c r="E17" i="10"/>
  <c r="D17" i="10"/>
  <c r="M17" i="10"/>
  <c r="K17" i="10"/>
  <c r="I17" i="10"/>
  <c r="H17" i="10"/>
  <c r="G17" i="10"/>
  <c r="H55" i="16"/>
  <c r="I55" i="16" s="1"/>
  <c r="G55" i="16"/>
  <c r="D55" i="16"/>
  <c r="C55" i="16"/>
  <c r="F55" i="16"/>
  <c r="E55" i="16"/>
  <c r="L94" i="9"/>
  <c r="B94" i="9"/>
  <c r="M94" i="9"/>
  <c r="N94" i="9" s="1"/>
  <c r="K94" i="9"/>
  <c r="I94" i="9"/>
  <c r="H94" i="9"/>
  <c r="F94" i="9"/>
  <c r="E94" i="9"/>
  <c r="J94" i="9"/>
  <c r="G94" i="9"/>
  <c r="M150" i="9"/>
  <c r="N150" i="9" s="1"/>
  <c r="K150" i="9"/>
  <c r="J150" i="9"/>
  <c r="H150" i="9"/>
  <c r="L150" i="9"/>
  <c r="I150" i="9"/>
  <c r="E150" i="9"/>
  <c r="B150" i="9"/>
  <c r="F150" i="9"/>
  <c r="G150" i="9"/>
  <c r="H63" i="16"/>
  <c r="I63" i="16" s="1"/>
  <c r="F63" i="16"/>
  <c r="E63" i="16"/>
  <c r="C63" i="16"/>
  <c r="G63" i="16"/>
  <c r="D63" i="16"/>
  <c r="F175" i="9"/>
  <c r="J175" i="9"/>
  <c r="I175" i="9"/>
  <c r="H175" i="9"/>
  <c r="G175" i="9"/>
  <c r="M175" i="9"/>
  <c r="N175" i="9" s="1"/>
  <c r="L175" i="9"/>
  <c r="E175" i="9"/>
  <c r="K175" i="9"/>
  <c r="B175" i="9"/>
  <c r="N152" i="10"/>
  <c r="O152" i="10" s="1"/>
  <c r="M152" i="10"/>
  <c r="L152" i="10"/>
  <c r="K152" i="10"/>
  <c r="I152" i="10"/>
  <c r="G152" i="10"/>
  <c r="F152" i="10"/>
  <c r="D152" i="10"/>
  <c r="C152" i="10"/>
  <c r="B152" i="10"/>
  <c r="E152" i="10"/>
  <c r="J152" i="10"/>
  <c r="H152" i="10"/>
  <c r="K70" i="9"/>
  <c r="F70" i="9"/>
  <c r="E70" i="9"/>
  <c r="M70" i="9"/>
  <c r="N70" i="9" s="1"/>
  <c r="L70" i="9"/>
  <c r="I70" i="9"/>
  <c r="G70" i="9"/>
  <c r="J70" i="9"/>
  <c r="H70" i="9"/>
  <c r="B70" i="9"/>
  <c r="L118" i="10"/>
  <c r="K118" i="10"/>
  <c r="J118" i="10"/>
  <c r="G118" i="10"/>
  <c r="F118" i="10"/>
  <c r="E118" i="10"/>
  <c r="D118" i="10"/>
  <c r="B118" i="10"/>
  <c r="N118" i="10"/>
  <c r="O118" i="10" s="1"/>
  <c r="H118" i="10"/>
  <c r="M118" i="10"/>
  <c r="I118" i="10"/>
  <c r="C118" i="10"/>
  <c r="I149" i="10"/>
  <c r="H149" i="10"/>
  <c r="G149" i="10"/>
  <c r="D149" i="10"/>
  <c r="C149" i="10"/>
  <c r="J149" i="10"/>
  <c r="F149" i="10"/>
  <c r="E149" i="10"/>
  <c r="B149" i="10"/>
  <c r="K149" i="10"/>
  <c r="N149" i="10"/>
  <c r="O149" i="10" s="1"/>
  <c r="M149" i="10"/>
  <c r="L149" i="10"/>
  <c r="G173" i="7"/>
  <c r="F173" i="7"/>
  <c r="E173" i="7"/>
  <c r="B173" i="7"/>
  <c r="N173" i="7"/>
  <c r="O173" i="7" s="1"/>
  <c r="M173" i="7"/>
  <c r="K173" i="7"/>
  <c r="H173" i="7"/>
  <c r="D173" i="7"/>
  <c r="C173" i="7"/>
  <c r="L173" i="7"/>
  <c r="J173" i="7"/>
  <c r="I173" i="7"/>
  <c r="H65" i="16"/>
  <c r="I65" i="16" s="1"/>
  <c r="D65" i="16"/>
  <c r="C65" i="16"/>
  <c r="E65" i="16"/>
  <c r="G65" i="16"/>
  <c r="F65" i="16"/>
  <c r="E20" i="7"/>
  <c r="K20" i="7"/>
  <c r="J20" i="7"/>
  <c r="I20" i="7"/>
  <c r="H20" i="7"/>
  <c r="G20" i="7"/>
  <c r="F20" i="7"/>
  <c r="D20" i="7"/>
  <c r="C20" i="7"/>
  <c r="M20" i="7"/>
  <c r="L20" i="7"/>
  <c r="B20" i="7"/>
  <c r="M40" i="7"/>
  <c r="E40" i="7"/>
  <c r="D40" i="7"/>
  <c r="C40" i="7"/>
  <c r="B40" i="7"/>
  <c r="L40" i="7"/>
  <c r="J40" i="7"/>
  <c r="F40" i="7"/>
  <c r="H40" i="7"/>
  <c r="G40" i="7"/>
  <c r="K40" i="7"/>
  <c r="C26" i="7"/>
  <c r="K26" i="7"/>
  <c r="J26" i="7"/>
  <c r="I26" i="7"/>
  <c r="H26" i="7"/>
  <c r="F26" i="7"/>
  <c r="M26" i="7"/>
  <c r="L26" i="7"/>
  <c r="G26" i="7"/>
  <c r="E26" i="7"/>
  <c r="D26" i="7"/>
  <c r="B26" i="7"/>
  <c r="B21" i="9"/>
  <c r="E21" i="9"/>
  <c r="I21" i="9"/>
  <c r="G21" i="9"/>
  <c r="F21" i="9"/>
  <c r="H21" i="9"/>
  <c r="L21" i="9"/>
  <c r="K21" i="9"/>
  <c r="J21" i="9"/>
  <c r="F14" i="16"/>
  <c r="C14" i="16"/>
  <c r="G14" i="16"/>
  <c r="E14" i="16"/>
  <c r="D14" i="16"/>
  <c r="L181" i="7"/>
  <c r="K181" i="7"/>
  <c r="N181" i="7"/>
  <c r="O181" i="7" s="1"/>
  <c r="M181" i="7"/>
  <c r="J181" i="7"/>
  <c r="I181" i="7"/>
  <c r="G181" i="7"/>
  <c r="F181" i="7"/>
  <c r="D181" i="7"/>
  <c r="C181" i="7"/>
  <c r="B181" i="7"/>
  <c r="H181" i="7"/>
  <c r="E181" i="7"/>
  <c r="L6" i="8"/>
  <c r="K6" i="8"/>
  <c r="B6" i="8"/>
  <c r="J6" i="8"/>
  <c r="D6" i="8"/>
  <c r="I6" i="8"/>
  <c r="G6" i="8"/>
  <c r="C6" i="8"/>
  <c r="H6" i="8"/>
  <c r="H67" i="16"/>
  <c r="I67" i="16" s="1"/>
  <c r="G67" i="16"/>
  <c r="E67" i="16"/>
  <c r="D67" i="16"/>
  <c r="C67" i="16"/>
  <c r="F67" i="16"/>
  <c r="L51" i="9"/>
  <c r="I51" i="9"/>
  <c r="H51" i="9"/>
  <c r="G51" i="9"/>
  <c r="M51" i="9"/>
  <c r="N51" i="9" s="1"/>
  <c r="K51" i="9"/>
  <c r="J51" i="9"/>
  <c r="F51" i="9"/>
  <c r="E51" i="9"/>
  <c r="B51" i="9"/>
  <c r="J102" i="9"/>
  <c r="I102" i="9"/>
  <c r="H102" i="9"/>
  <c r="F102" i="9"/>
  <c r="K102" i="9"/>
  <c r="G102" i="9"/>
  <c r="E102" i="9"/>
  <c r="B102" i="9"/>
  <c r="L102" i="9"/>
  <c r="M102" i="9"/>
  <c r="N102" i="9" s="1"/>
  <c r="E101" i="7"/>
  <c r="D101" i="7"/>
  <c r="C101" i="7"/>
  <c r="N101" i="7"/>
  <c r="O101" i="7" s="1"/>
  <c r="K101" i="7"/>
  <c r="J101" i="7"/>
  <c r="I101" i="7"/>
  <c r="H101" i="7"/>
  <c r="F101" i="7"/>
  <c r="M101" i="7"/>
  <c r="L101" i="7"/>
  <c r="G101" i="7"/>
  <c r="B101" i="7"/>
  <c r="M96" i="8"/>
  <c r="N96" i="8" s="1"/>
  <c r="C96" i="8"/>
  <c r="B96" i="8"/>
  <c r="L96" i="8"/>
  <c r="K96" i="8"/>
  <c r="J96" i="8"/>
  <c r="I96" i="8"/>
  <c r="H96" i="8"/>
  <c r="G96" i="8"/>
  <c r="D96" i="8"/>
  <c r="D85" i="8"/>
  <c r="C85" i="8"/>
  <c r="L85" i="8"/>
  <c r="B85" i="8"/>
  <c r="J85" i="8"/>
  <c r="M85" i="8"/>
  <c r="N85" i="8" s="1"/>
  <c r="I85" i="8"/>
  <c r="K85" i="8"/>
  <c r="H85" i="8"/>
  <c r="G85" i="8"/>
  <c r="C132" i="8"/>
  <c r="B132" i="8"/>
  <c r="M132" i="8"/>
  <c r="N132" i="8" s="1"/>
  <c r="L132" i="8"/>
  <c r="G132" i="8"/>
  <c r="D132" i="8"/>
  <c r="I132" i="8"/>
  <c r="H132" i="8"/>
  <c r="J132" i="8"/>
  <c r="K132" i="8"/>
  <c r="L71" i="7"/>
  <c r="K71" i="7"/>
  <c r="B71" i="7"/>
  <c r="J71" i="7"/>
  <c r="E71" i="7"/>
  <c r="C71" i="7"/>
  <c r="D71" i="7"/>
  <c r="H71" i="7"/>
  <c r="F71" i="7"/>
  <c r="M71" i="7"/>
  <c r="I71" i="7"/>
  <c r="G71" i="7"/>
  <c r="K75" i="7"/>
  <c r="J75" i="7"/>
  <c r="I75" i="7"/>
  <c r="F75" i="7"/>
  <c r="E75" i="7"/>
  <c r="L75" i="7"/>
  <c r="H75" i="7"/>
  <c r="G75" i="7"/>
  <c r="D75" i="7"/>
  <c r="B75" i="7"/>
  <c r="N75" i="7"/>
  <c r="O75" i="7" s="1"/>
  <c r="C75" i="7"/>
  <c r="M75" i="7"/>
  <c r="C98" i="10"/>
  <c r="B98" i="10"/>
  <c r="J98" i="10"/>
  <c r="I98" i="10"/>
  <c r="E98" i="10"/>
  <c r="K98" i="10"/>
  <c r="H98" i="10"/>
  <c r="G98" i="10"/>
  <c r="F98" i="10"/>
  <c r="N98" i="10"/>
  <c r="O98" i="10" s="1"/>
  <c r="M98" i="10"/>
  <c r="L98" i="10"/>
  <c r="D98" i="10"/>
  <c r="G59" i="8"/>
  <c r="I59" i="8"/>
  <c r="L59" i="8"/>
  <c r="K59" i="8"/>
  <c r="C59" i="8"/>
  <c r="J59" i="8"/>
  <c r="H59" i="8"/>
  <c r="D59" i="8"/>
  <c r="M59" i="8"/>
  <c r="N59" i="8" s="1"/>
  <c r="B59" i="8"/>
  <c r="K119" i="7"/>
  <c r="J119" i="7"/>
  <c r="I119" i="7"/>
  <c r="F119" i="7"/>
  <c r="E119" i="7"/>
  <c r="C119" i="7"/>
  <c r="B119" i="7"/>
  <c r="H119" i="7"/>
  <c r="G119" i="7"/>
  <c r="D119" i="7"/>
  <c r="N119" i="7"/>
  <c r="O119" i="7" s="1"/>
  <c r="L119" i="7"/>
  <c r="M119" i="7"/>
  <c r="G33" i="18"/>
  <c r="F33" i="18"/>
  <c r="C33" i="18"/>
  <c r="H33" i="18"/>
  <c r="I33" i="18" s="1"/>
  <c r="E33" i="18"/>
  <c r="D33" i="18"/>
  <c r="K154" i="9"/>
  <c r="I154" i="9"/>
  <c r="H154" i="9"/>
  <c r="F154" i="9"/>
  <c r="B154" i="9"/>
  <c r="L154" i="9"/>
  <c r="J154" i="9"/>
  <c r="G154" i="9"/>
  <c r="M154" i="9"/>
  <c r="N154" i="9" s="1"/>
  <c r="E154" i="9"/>
  <c r="L56" i="9"/>
  <c r="K56" i="9"/>
  <c r="J56" i="9"/>
  <c r="I56" i="9"/>
  <c r="G56" i="9"/>
  <c r="B56" i="9"/>
  <c r="H56" i="9"/>
  <c r="F56" i="9"/>
  <c r="E56" i="9"/>
  <c r="M56" i="9"/>
  <c r="N56" i="9" s="1"/>
  <c r="B48" i="8"/>
  <c r="C48" i="8"/>
  <c r="D48" i="8"/>
  <c r="L48" i="8"/>
  <c r="I48" i="8"/>
  <c r="J48" i="8"/>
  <c r="H48" i="8"/>
  <c r="K48" i="8"/>
  <c r="G48" i="8"/>
  <c r="M84" i="10"/>
  <c r="C84" i="10"/>
  <c r="B84" i="10"/>
  <c r="G84" i="10"/>
  <c r="F84" i="10"/>
  <c r="E84" i="10"/>
  <c r="D84" i="10"/>
  <c r="L84" i="10"/>
  <c r="K84" i="10"/>
  <c r="I84" i="10"/>
  <c r="H84" i="10"/>
  <c r="N84" i="10"/>
  <c r="O84" i="10" s="1"/>
  <c r="J84" i="10"/>
  <c r="K34" i="10"/>
  <c r="J34" i="10"/>
  <c r="F34" i="10"/>
  <c r="N34" i="10"/>
  <c r="O34" i="10" s="1"/>
  <c r="M34" i="10"/>
  <c r="I34" i="10"/>
  <c r="H34" i="10"/>
  <c r="G34" i="10"/>
  <c r="E34" i="10"/>
  <c r="D34" i="10"/>
  <c r="B34" i="10"/>
  <c r="L34" i="10"/>
  <c r="C34" i="10"/>
  <c r="N167" i="10"/>
  <c r="O167" i="10" s="1"/>
  <c r="M167" i="10"/>
  <c r="J167" i="10"/>
  <c r="I167" i="10"/>
  <c r="E167" i="10"/>
  <c r="D167" i="10"/>
  <c r="C167" i="10"/>
  <c r="B167" i="10"/>
  <c r="K167" i="10"/>
  <c r="H167" i="10"/>
  <c r="G167" i="10"/>
  <c r="L167" i="10"/>
  <c r="F167" i="10"/>
  <c r="F74" i="16"/>
  <c r="E74" i="16"/>
  <c r="D74" i="16"/>
  <c r="C74" i="16"/>
  <c r="H74" i="16"/>
  <c r="I74" i="16" s="1"/>
  <c r="G74" i="16"/>
  <c r="G141" i="9"/>
  <c r="F141" i="9"/>
  <c r="E141" i="9"/>
  <c r="K141" i="9"/>
  <c r="J141" i="9"/>
  <c r="H141" i="9"/>
  <c r="B141" i="9"/>
  <c r="L141" i="9"/>
  <c r="I141" i="9"/>
  <c r="M141" i="9"/>
  <c r="N141" i="9" s="1"/>
  <c r="E57" i="9"/>
  <c r="B57" i="9"/>
  <c r="G57" i="9"/>
  <c r="F57" i="9"/>
  <c r="L57" i="9"/>
  <c r="K57" i="9"/>
  <c r="J57" i="9"/>
  <c r="M57" i="9"/>
  <c r="N57" i="9" s="1"/>
  <c r="I57" i="9"/>
  <c r="H57" i="9"/>
  <c r="H100" i="16"/>
  <c r="I100" i="16" s="1"/>
  <c r="G100" i="16"/>
  <c r="D100" i="16"/>
  <c r="F100" i="16"/>
  <c r="E100" i="16"/>
  <c r="C100" i="16"/>
  <c r="L117" i="9"/>
  <c r="K117" i="9"/>
  <c r="J117" i="9"/>
  <c r="G117" i="9"/>
  <c r="F117" i="9"/>
  <c r="I117" i="9"/>
  <c r="E117" i="9"/>
  <c r="B117" i="9"/>
  <c r="M117" i="9"/>
  <c r="N117" i="9" s="1"/>
  <c r="H117" i="9"/>
  <c r="B91" i="9"/>
  <c r="H91" i="9"/>
  <c r="G91" i="9"/>
  <c r="F91" i="9"/>
  <c r="E91" i="9"/>
  <c r="I91" i="9"/>
  <c r="M91" i="9"/>
  <c r="N91" i="9" s="1"/>
  <c r="J91" i="9"/>
  <c r="K91" i="9"/>
  <c r="L91" i="9"/>
  <c r="H83" i="16"/>
  <c r="I83" i="16" s="1"/>
  <c r="G83" i="16"/>
  <c r="F83" i="16"/>
  <c r="E83" i="16"/>
  <c r="D83" i="16"/>
  <c r="C83" i="16"/>
  <c r="I55" i="8"/>
  <c r="H55" i="8"/>
  <c r="G55" i="8"/>
  <c r="D55" i="8"/>
  <c r="C55" i="8"/>
  <c r="B55" i="8"/>
  <c r="M55" i="8"/>
  <c r="N55" i="8" s="1"/>
  <c r="J55" i="8"/>
  <c r="L55" i="8"/>
  <c r="K55" i="8"/>
  <c r="H97" i="8"/>
  <c r="J97" i="8"/>
  <c r="I97" i="8"/>
  <c r="B97" i="8"/>
  <c r="G97" i="8"/>
  <c r="D97" i="8"/>
  <c r="C97" i="8"/>
  <c r="M97" i="8"/>
  <c r="N97" i="8" s="1"/>
  <c r="L97" i="8"/>
  <c r="K97" i="8"/>
  <c r="M131" i="8"/>
  <c r="N131" i="8" s="1"/>
  <c r="K131" i="8"/>
  <c r="I131" i="8"/>
  <c r="D131" i="8"/>
  <c r="C131" i="8"/>
  <c r="B131" i="8"/>
  <c r="H131" i="8"/>
  <c r="G131" i="8"/>
  <c r="L131" i="8"/>
  <c r="J131" i="8"/>
  <c r="I108" i="10"/>
  <c r="H108" i="10"/>
  <c r="D108" i="10"/>
  <c r="N108" i="10"/>
  <c r="O108" i="10" s="1"/>
  <c r="L108" i="10"/>
  <c r="K108" i="10"/>
  <c r="J108" i="10"/>
  <c r="G108" i="10"/>
  <c r="C108" i="10"/>
  <c r="M108" i="10"/>
  <c r="F108" i="10"/>
  <c r="E108" i="10"/>
  <c r="B108" i="10"/>
  <c r="K196" i="8"/>
  <c r="J196" i="8"/>
  <c r="I196" i="8"/>
  <c r="H196" i="8"/>
  <c r="M196" i="8"/>
  <c r="N196" i="8" s="1"/>
  <c r="L196" i="8"/>
  <c r="G196" i="8"/>
  <c r="D196" i="8"/>
  <c r="C196" i="8"/>
  <c r="B196" i="8"/>
  <c r="G96" i="7"/>
  <c r="F96" i="7"/>
  <c r="E96" i="7"/>
  <c r="B96" i="7"/>
  <c r="H96" i="7"/>
  <c r="C96" i="7"/>
  <c r="D96" i="7"/>
  <c r="K96" i="7"/>
  <c r="J96" i="7"/>
  <c r="L96" i="7"/>
  <c r="N96" i="7"/>
  <c r="O96" i="7" s="1"/>
  <c r="M96" i="7"/>
  <c r="I96" i="7"/>
  <c r="E134" i="7"/>
  <c r="D134" i="7"/>
  <c r="C134" i="7"/>
  <c r="N134" i="7"/>
  <c r="O134" i="7" s="1"/>
  <c r="M134" i="7"/>
  <c r="K134" i="7"/>
  <c r="L134" i="7"/>
  <c r="B134" i="7"/>
  <c r="J134" i="7"/>
  <c r="G134" i="7"/>
  <c r="F134" i="7"/>
  <c r="I134" i="7"/>
  <c r="H134" i="7"/>
  <c r="L104" i="8"/>
  <c r="K104" i="8"/>
  <c r="J104" i="8"/>
  <c r="I104" i="8"/>
  <c r="C104" i="8"/>
  <c r="M104" i="8"/>
  <c r="N104" i="8" s="1"/>
  <c r="H104" i="8"/>
  <c r="G104" i="8"/>
  <c r="D104" i="8"/>
  <c r="B104" i="8"/>
  <c r="G4" i="18"/>
  <c r="F4" i="18"/>
  <c r="E4" i="18"/>
  <c r="C4" i="18"/>
  <c r="D4" i="18"/>
  <c r="F135" i="9"/>
  <c r="E135" i="9"/>
  <c r="H135" i="9"/>
  <c r="G135" i="9"/>
  <c r="B135" i="9"/>
  <c r="M135" i="9"/>
  <c r="N135" i="9" s="1"/>
  <c r="L135" i="9"/>
  <c r="K135" i="9"/>
  <c r="J135" i="9"/>
  <c r="I135" i="9"/>
  <c r="E188" i="9"/>
  <c r="B188" i="9"/>
  <c r="K188" i="9"/>
  <c r="J188" i="9"/>
  <c r="I188" i="9"/>
  <c r="F188" i="9"/>
  <c r="M188" i="9"/>
  <c r="N188" i="9" s="1"/>
  <c r="L188" i="9"/>
  <c r="H188" i="9"/>
  <c r="G188" i="9"/>
  <c r="L18" i="8"/>
  <c r="K18" i="8"/>
  <c r="J18" i="8"/>
  <c r="G18" i="8"/>
  <c r="C18" i="8"/>
  <c r="B18" i="8"/>
  <c r="D18" i="8"/>
  <c r="M18" i="8" s="1"/>
  <c r="I18" i="8"/>
  <c r="H18" i="8"/>
  <c r="K166" i="10"/>
  <c r="J166" i="10"/>
  <c r="I166" i="10"/>
  <c r="F166" i="10"/>
  <c r="E166" i="10"/>
  <c r="N166" i="10"/>
  <c r="O166" i="10" s="1"/>
  <c r="M166" i="10"/>
  <c r="L166" i="10"/>
  <c r="H166" i="10"/>
  <c r="D166" i="10"/>
  <c r="G166" i="10"/>
  <c r="C166" i="10"/>
  <c r="B166" i="10"/>
  <c r="B20" i="8"/>
  <c r="L20" i="8"/>
  <c r="K20" i="8"/>
  <c r="J20" i="8"/>
  <c r="I20" i="8"/>
  <c r="H20" i="8"/>
  <c r="G20" i="8"/>
  <c r="D20" i="8"/>
  <c r="C20" i="8"/>
  <c r="L63" i="10"/>
  <c r="K63" i="10"/>
  <c r="N63" i="10"/>
  <c r="O63" i="10" s="1"/>
  <c r="I63" i="10"/>
  <c r="H63" i="10"/>
  <c r="G63" i="10"/>
  <c r="F63" i="10"/>
  <c r="M63" i="10"/>
  <c r="E63" i="10"/>
  <c r="J63" i="10"/>
  <c r="D63" i="10"/>
  <c r="C63" i="10"/>
  <c r="B63" i="10"/>
  <c r="M127" i="8"/>
  <c r="G127" i="8"/>
  <c r="D127" i="8"/>
  <c r="L127" i="8"/>
  <c r="K127" i="8"/>
  <c r="J127" i="8"/>
  <c r="C127" i="8"/>
  <c r="I127" i="8"/>
  <c r="H127" i="8"/>
  <c r="B127" i="8"/>
  <c r="N127" i="8"/>
  <c r="K106" i="8"/>
  <c r="L106" i="8"/>
  <c r="M106" i="8"/>
  <c r="N106" i="8" s="1"/>
  <c r="J106" i="8"/>
  <c r="D106" i="8"/>
  <c r="C106" i="8"/>
  <c r="I106" i="8"/>
  <c r="G106" i="8"/>
  <c r="H106" i="8"/>
  <c r="B106" i="8"/>
  <c r="M85" i="9"/>
  <c r="N85" i="9" s="1"/>
  <c r="K85" i="9"/>
  <c r="I85" i="9"/>
  <c r="B85" i="9"/>
  <c r="J85" i="9"/>
  <c r="E85" i="9"/>
  <c r="H85" i="9"/>
  <c r="G85" i="9"/>
  <c r="F85" i="9"/>
  <c r="L85" i="9"/>
  <c r="C5" i="18"/>
  <c r="E5" i="18"/>
  <c r="D5" i="18"/>
  <c r="G5" i="18"/>
  <c r="F5" i="18"/>
  <c r="C109" i="10"/>
  <c r="B109" i="10"/>
  <c r="L109" i="10"/>
  <c r="E109" i="10"/>
  <c r="D109" i="10"/>
  <c r="N109" i="10"/>
  <c r="O109" i="10" s="1"/>
  <c r="K109" i="10"/>
  <c r="M109" i="10"/>
  <c r="J109" i="10"/>
  <c r="G109" i="10"/>
  <c r="F109" i="10"/>
  <c r="I109" i="10"/>
  <c r="H109" i="10"/>
  <c r="M44" i="9"/>
  <c r="N44" i="9" s="1"/>
  <c r="L44" i="9"/>
  <c r="K44" i="9"/>
  <c r="H44" i="9"/>
  <c r="G44" i="9"/>
  <c r="B44" i="9"/>
  <c r="E44" i="9"/>
  <c r="I44" i="9"/>
  <c r="F44" i="9"/>
  <c r="J44" i="9"/>
  <c r="G34" i="18"/>
  <c r="E34" i="18"/>
  <c r="D34" i="18"/>
  <c r="F34" i="18"/>
  <c r="C34" i="18"/>
  <c r="H34" i="18"/>
  <c r="I34" i="18" s="1"/>
  <c r="L120" i="9"/>
  <c r="K120" i="9"/>
  <c r="J120" i="9"/>
  <c r="I120" i="9"/>
  <c r="H120" i="9"/>
  <c r="M120" i="9"/>
  <c r="N120" i="9" s="1"/>
  <c r="F120" i="9"/>
  <c r="E120" i="9"/>
  <c r="G120" i="9"/>
  <c r="B120" i="9"/>
  <c r="M150" i="10"/>
  <c r="L150" i="10"/>
  <c r="K150" i="10"/>
  <c r="H150" i="10"/>
  <c r="G150" i="10"/>
  <c r="C150" i="10"/>
  <c r="B150" i="10"/>
  <c r="N150" i="10"/>
  <c r="O150" i="10" s="1"/>
  <c r="D150" i="10"/>
  <c r="I150" i="10"/>
  <c r="F150" i="10"/>
  <c r="E150" i="10"/>
  <c r="J150" i="10"/>
  <c r="M84" i="8"/>
  <c r="N84" i="8" s="1"/>
  <c r="H84" i="8"/>
  <c r="L84" i="8"/>
  <c r="K84" i="8"/>
  <c r="I84" i="8"/>
  <c r="J84" i="8"/>
  <c r="G84" i="8"/>
  <c r="D84" i="8"/>
  <c r="C84" i="8"/>
  <c r="B84" i="8"/>
  <c r="G33" i="10"/>
  <c r="F33" i="10"/>
  <c r="B33" i="10"/>
  <c r="I33" i="10"/>
  <c r="H33" i="10"/>
  <c r="E33" i="10"/>
  <c r="D33" i="10"/>
  <c r="J33" i="10"/>
  <c r="C33" i="10"/>
  <c r="N33" i="10"/>
  <c r="O33" i="10" s="1"/>
  <c r="L33" i="10"/>
  <c r="K33" i="10"/>
  <c r="M33" i="10"/>
  <c r="K45" i="10"/>
  <c r="J45" i="10"/>
  <c r="F45" i="10"/>
  <c r="N45" i="10"/>
  <c r="O45" i="10" s="1"/>
  <c r="B45" i="10"/>
  <c r="C45" i="10"/>
  <c r="M45" i="10"/>
  <c r="H45" i="10"/>
  <c r="E45" i="10"/>
  <c r="L45" i="10"/>
  <c r="D45" i="10"/>
  <c r="I45" i="10"/>
  <c r="G45" i="10"/>
  <c r="I127" i="10"/>
  <c r="H127" i="10"/>
  <c r="G127" i="10"/>
  <c r="D127" i="10"/>
  <c r="C127" i="10"/>
  <c r="J127" i="10"/>
  <c r="F127" i="10"/>
  <c r="E127" i="10"/>
  <c r="B127" i="10"/>
  <c r="L127" i="10"/>
  <c r="K127" i="10"/>
  <c r="M127" i="10"/>
  <c r="N127" i="10"/>
  <c r="O127" i="10" s="1"/>
  <c r="N87" i="7"/>
  <c r="O87" i="7" s="1"/>
  <c r="M87" i="7"/>
  <c r="J87" i="7"/>
  <c r="I87" i="7"/>
  <c r="L87" i="7"/>
  <c r="H87" i="7"/>
  <c r="G87" i="7"/>
  <c r="F87" i="7"/>
  <c r="E87" i="7"/>
  <c r="C87" i="7"/>
  <c r="B87" i="7"/>
  <c r="K87" i="7"/>
  <c r="D87" i="7"/>
  <c r="H99" i="16"/>
  <c r="I99" i="16" s="1"/>
  <c r="G99" i="16"/>
  <c r="F99" i="16"/>
  <c r="E99" i="16"/>
  <c r="D99" i="16"/>
  <c r="C99" i="16"/>
  <c r="L74" i="10"/>
  <c r="M74" i="10"/>
  <c r="J74" i="10"/>
  <c r="I74" i="10"/>
  <c r="H74" i="10"/>
  <c r="G74" i="10"/>
  <c r="D74" i="10"/>
  <c r="C74" i="10"/>
  <c r="B74" i="10"/>
  <c r="N74" i="10"/>
  <c r="O74" i="10" s="1"/>
  <c r="K74" i="10"/>
  <c r="E74" i="10"/>
  <c r="F74" i="10"/>
  <c r="L151" i="10"/>
  <c r="K151" i="10"/>
  <c r="N151" i="10"/>
  <c r="O151" i="10" s="1"/>
  <c r="M151" i="10"/>
  <c r="G151" i="10"/>
  <c r="C151" i="10"/>
  <c r="B151" i="10"/>
  <c r="E151" i="10"/>
  <c r="D151" i="10"/>
  <c r="J151" i="10"/>
  <c r="I151" i="10"/>
  <c r="H151" i="10"/>
  <c r="F151" i="10"/>
  <c r="M19" i="10"/>
  <c r="L19" i="10"/>
  <c r="J19" i="10"/>
  <c r="F19" i="10"/>
  <c r="E19" i="10"/>
  <c r="D19" i="10"/>
  <c r="C19" i="10"/>
  <c r="K19" i="10"/>
  <c r="H19" i="10"/>
  <c r="G19" i="10"/>
  <c r="B19" i="10"/>
  <c r="N101" i="10"/>
  <c r="O101" i="10" s="1"/>
  <c r="I101" i="10"/>
  <c r="F101" i="10"/>
  <c r="E101" i="10"/>
  <c r="L101" i="10"/>
  <c r="K101" i="10"/>
  <c r="J101" i="10"/>
  <c r="H101" i="10"/>
  <c r="D101" i="10"/>
  <c r="M101" i="10"/>
  <c r="B101" i="10"/>
  <c r="C101" i="10"/>
  <c r="G101" i="10"/>
  <c r="N141" i="10"/>
  <c r="O141" i="10" s="1"/>
  <c r="F141" i="10"/>
  <c r="E141" i="10"/>
  <c r="D141" i="10"/>
  <c r="C141" i="10"/>
  <c r="K141" i="10"/>
  <c r="J141" i="10"/>
  <c r="M141" i="10"/>
  <c r="I141" i="10"/>
  <c r="H141" i="10"/>
  <c r="G141" i="10"/>
  <c r="L141" i="10"/>
  <c r="B141" i="10"/>
  <c r="E191" i="10"/>
  <c r="D191" i="10"/>
  <c r="C191" i="10"/>
  <c r="B191" i="10"/>
  <c r="N191" i="10"/>
  <c r="O191" i="10" s="1"/>
  <c r="L191" i="10"/>
  <c r="M191" i="10"/>
  <c r="K191" i="10"/>
  <c r="J191" i="10"/>
  <c r="I191" i="10"/>
  <c r="F191" i="10"/>
  <c r="H191" i="10"/>
  <c r="G191" i="10"/>
  <c r="G39" i="9"/>
  <c r="F39" i="9"/>
  <c r="E39" i="9"/>
  <c r="B39" i="9"/>
  <c r="M39" i="9"/>
  <c r="N39" i="9" s="1"/>
  <c r="L39" i="9"/>
  <c r="I39" i="9"/>
  <c r="H39" i="9"/>
  <c r="K39" i="9"/>
  <c r="J39" i="9"/>
  <c r="B42" i="9"/>
  <c r="F42" i="9"/>
  <c r="E42" i="9"/>
  <c r="M42" i="9"/>
  <c r="N42" i="9" s="1"/>
  <c r="L42" i="9"/>
  <c r="H42" i="9"/>
  <c r="K42" i="9"/>
  <c r="G42" i="9"/>
  <c r="J42" i="9"/>
  <c r="I42" i="9"/>
  <c r="F73" i="9"/>
  <c r="E73" i="9"/>
  <c r="G73" i="9"/>
  <c r="B73" i="9"/>
  <c r="M73" i="9"/>
  <c r="N73" i="9" s="1"/>
  <c r="L73" i="9"/>
  <c r="K73" i="9"/>
  <c r="I73" i="9"/>
  <c r="J73" i="9"/>
  <c r="H73" i="9"/>
  <c r="M6" i="7"/>
  <c r="K6" i="7"/>
  <c r="L6" i="7"/>
  <c r="I6" i="7"/>
  <c r="H6" i="7"/>
  <c r="F6" i="7"/>
  <c r="E6" i="7"/>
  <c r="D6" i="7"/>
  <c r="J6" i="7"/>
  <c r="G6" i="7"/>
  <c r="C6" i="7"/>
  <c r="B6" i="7"/>
  <c r="L161" i="8"/>
  <c r="K161" i="8"/>
  <c r="J161" i="8"/>
  <c r="I161" i="8"/>
  <c r="G161" i="8"/>
  <c r="M161" i="8"/>
  <c r="N161" i="8" s="1"/>
  <c r="D161" i="8"/>
  <c r="B161" i="8"/>
  <c r="H161" i="8"/>
  <c r="C161" i="8"/>
  <c r="D195" i="8"/>
  <c r="C195" i="8"/>
  <c r="M195" i="8"/>
  <c r="N195" i="8" s="1"/>
  <c r="L195" i="8"/>
  <c r="K195" i="8"/>
  <c r="I195" i="8"/>
  <c r="B195" i="8"/>
  <c r="H195" i="8"/>
  <c r="G195" i="8"/>
  <c r="J195" i="8"/>
  <c r="I156" i="8"/>
  <c r="H156" i="8"/>
  <c r="G156" i="8"/>
  <c r="D156" i="8"/>
  <c r="B156" i="8"/>
  <c r="K156" i="8"/>
  <c r="C156" i="8"/>
  <c r="J156" i="8"/>
  <c r="M156" i="8"/>
  <c r="N156" i="8" s="1"/>
  <c r="L156" i="8"/>
  <c r="L159" i="7"/>
  <c r="K159" i="7"/>
  <c r="N159" i="7"/>
  <c r="O159" i="7" s="1"/>
  <c r="M159" i="7"/>
  <c r="I159" i="7"/>
  <c r="J159" i="7"/>
  <c r="H159" i="7"/>
  <c r="B159" i="7"/>
  <c r="F159" i="7"/>
  <c r="E159" i="7"/>
  <c r="D159" i="7"/>
  <c r="G159" i="7"/>
  <c r="C159" i="7"/>
  <c r="G66" i="10"/>
  <c r="F66" i="10"/>
  <c r="B66" i="10"/>
  <c r="N66" i="10"/>
  <c r="O66" i="10" s="1"/>
  <c r="L66" i="10"/>
  <c r="D66" i="10"/>
  <c r="C66" i="10"/>
  <c r="I66" i="10"/>
  <c r="H66" i="10"/>
  <c r="E66" i="10"/>
  <c r="M66" i="10"/>
  <c r="K66" i="10"/>
  <c r="J66" i="10"/>
  <c r="L170" i="7"/>
  <c r="K170" i="7"/>
  <c r="N170" i="7"/>
  <c r="O170" i="7" s="1"/>
  <c r="M170" i="7"/>
  <c r="J170" i="7"/>
  <c r="H170" i="7"/>
  <c r="I170" i="7"/>
  <c r="G170" i="7"/>
  <c r="E170" i="7"/>
  <c r="C170" i="7"/>
  <c r="B170" i="7"/>
  <c r="F170" i="7"/>
  <c r="D170" i="7"/>
  <c r="L104" i="7"/>
  <c r="K104" i="7"/>
  <c r="N104" i="7"/>
  <c r="O104" i="7" s="1"/>
  <c r="M104" i="7"/>
  <c r="J104" i="7"/>
  <c r="H104" i="7"/>
  <c r="G104" i="7"/>
  <c r="F104" i="7"/>
  <c r="E104" i="7"/>
  <c r="D104" i="7"/>
  <c r="I104" i="7"/>
  <c r="C104" i="7"/>
  <c r="B104" i="7"/>
  <c r="I138" i="10"/>
  <c r="H138" i="10"/>
  <c r="G138" i="10"/>
  <c r="D138" i="10"/>
  <c r="C138" i="10"/>
  <c r="N138" i="10"/>
  <c r="O138" i="10" s="1"/>
  <c r="M138" i="10"/>
  <c r="L138" i="10"/>
  <c r="J138" i="10"/>
  <c r="B138" i="10"/>
  <c r="K138" i="10"/>
  <c r="F138" i="10"/>
  <c r="E138" i="10"/>
  <c r="I158" i="9"/>
  <c r="G158" i="9"/>
  <c r="F158" i="9"/>
  <c r="M158" i="9"/>
  <c r="N158" i="9" s="1"/>
  <c r="L158" i="9"/>
  <c r="J158" i="9"/>
  <c r="H158" i="9"/>
  <c r="E158" i="9"/>
  <c r="B158" i="9"/>
  <c r="K158" i="9"/>
  <c r="F28" i="16"/>
  <c r="D28" i="16"/>
  <c r="C28" i="16"/>
  <c r="H28" i="16"/>
  <c r="I28" i="16" s="1"/>
  <c r="G28" i="16"/>
  <c r="E28" i="16"/>
  <c r="E79" i="9"/>
  <c r="B79" i="9"/>
  <c r="M79" i="9"/>
  <c r="N79" i="9" s="1"/>
  <c r="I79" i="9"/>
  <c r="G79" i="9"/>
  <c r="F79" i="9"/>
  <c r="L79" i="9"/>
  <c r="K79" i="9"/>
  <c r="H79" i="9"/>
  <c r="J79" i="9"/>
  <c r="K53" i="7"/>
  <c r="J53" i="7"/>
  <c r="I53" i="7"/>
  <c r="F53" i="7"/>
  <c r="E53" i="7"/>
  <c r="M53" i="7"/>
  <c r="L53" i="7"/>
  <c r="G53" i="7"/>
  <c r="H53" i="7"/>
  <c r="B53" i="7"/>
  <c r="D53" i="7"/>
  <c r="C53" i="7"/>
  <c r="L66" i="8"/>
  <c r="M66" i="8"/>
  <c r="N66" i="8" s="1"/>
  <c r="K66" i="8"/>
  <c r="J66" i="8"/>
  <c r="I66" i="8"/>
  <c r="H66" i="8"/>
  <c r="B66" i="8"/>
  <c r="G66" i="8"/>
  <c r="D66" i="8"/>
  <c r="C66" i="8"/>
  <c r="J124" i="9"/>
  <c r="I124" i="9"/>
  <c r="H124" i="9"/>
  <c r="K124" i="9"/>
  <c r="F124" i="9"/>
  <c r="E124" i="9"/>
  <c r="M124" i="9"/>
  <c r="N124" i="9" s="1"/>
  <c r="B124" i="9"/>
  <c r="L124" i="9"/>
  <c r="G124" i="9"/>
  <c r="E125" i="10"/>
  <c r="D125" i="10"/>
  <c r="F125" i="10"/>
  <c r="C125" i="10"/>
  <c r="B125" i="10"/>
  <c r="L125" i="10"/>
  <c r="K125" i="10"/>
  <c r="N125" i="10"/>
  <c r="O125" i="10" s="1"/>
  <c r="M125" i="10"/>
  <c r="J125" i="10"/>
  <c r="G125" i="10"/>
  <c r="I125" i="10"/>
  <c r="H125" i="10"/>
  <c r="E126" i="10"/>
  <c r="D126" i="10"/>
  <c r="C126" i="10"/>
  <c r="N126" i="10"/>
  <c r="O126" i="10" s="1"/>
  <c r="M126" i="10"/>
  <c r="I126" i="10"/>
  <c r="J126" i="10"/>
  <c r="H126" i="10"/>
  <c r="G126" i="10"/>
  <c r="F126" i="10"/>
  <c r="L126" i="10"/>
  <c r="B126" i="10"/>
  <c r="K126" i="10"/>
  <c r="G8" i="16"/>
  <c r="F8" i="16"/>
  <c r="C8" i="16"/>
  <c r="E8" i="16"/>
  <c r="D8" i="16"/>
  <c r="D142" i="8"/>
  <c r="C142" i="8"/>
  <c r="B142" i="8"/>
  <c r="M142" i="8"/>
  <c r="N142" i="8" s="1"/>
  <c r="L142" i="8"/>
  <c r="K142" i="8"/>
  <c r="J142" i="8"/>
  <c r="I142" i="8"/>
  <c r="H142" i="8"/>
  <c r="G142" i="8"/>
  <c r="G7" i="9"/>
  <c r="F7" i="9"/>
  <c r="E7" i="9"/>
  <c r="B7" i="9"/>
  <c r="J7" i="9"/>
  <c r="I7" i="9"/>
  <c r="H7" i="9"/>
  <c r="K7" i="9"/>
  <c r="L7" i="9"/>
  <c r="H31" i="16"/>
  <c r="I31" i="16" s="1"/>
  <c r="G31" i="16"/>
  <c r="F31" i="16"/>
  <c r="E31" i="16"/>
  <c r="C31" i="16"/>
  <c r="D31" i="16"/>
  <c r="B165" i="9"/>
  <c r="M165" i="9"/>
  <c r="N165" i="9" s="1"/>
  <c r="L165" i="9"/>
  <c r="K165" i="9"/>
  <c r="J165" i="9"/>
  <c r="H165" i="9"/>
  <c r="G165" i="9"/>
  <c r="F165" i="9"/>
  <c r="E165" i="9"/>
  <c r="I165" i="9"/>
  <c r="C33" i="8"/>
  <c r="B33" i="8"/>
  <c r="L33" i="8"/>
  <c r="K33" i="8"/>
  <c r="J33" i="8"/>
  <c r="I33" i="8"/>
  <c r="H33" i="8"/>
  <c r="G33" i="8"/>
  <c r="D33" i="8"/>
  <c r="G29" i="8"/>
  <c r="C29" i="8"/>
  <c r="B29" i="8"/>
  <c r="L29" i="8"/>
  <c r="K29" i="8"/>
  <c r="I29" i="8"/>
  <c r="D29" i="8"/>
  <c r="H29" i="8"/>
  <c r="J29" i="8"/>
  <c r="H34" i="8"/>
  <c r="G34" i="8"/>
  <c r="L34" i="8"/>
  <c r="K34" i="8"/>
  <c r="D34" i="8"/>
  <c r="J34" i="8"/>
  <c r="I34" i="8"/>
  <c r="C34" i="8"/>
  <c r="B34" i="8"/>
  <c r="K196" i="7"/>
  <c r="J196" i="7"/>
  <c r="I196" i="7"/>
  <c r="F196" i="7"/>
  <c r="E196" i="7"/>
  <c r="H196" i="7"/>
  <c r="G196" i="7"/>
  <c r="D196" i="7"/>
  <c r="C196" i="7"/>
  <c r="N196" i="7"/>
  <c r="O196" i="7" s="1"/>
  <c r="M196" i="7"/>
  <c r="L196" i="7"/>
  <c r="B196" i="7"/>
  <c r="C197" i="10"/>
  <c r="B197" i="10"/>
  <c r="N197" i="10"/>
  <c r="O197" i="10" s="1"/>
  <c r="G197" i="10"/>
  <c r="F197" i="10"/>
  <c r="E197" i="10"/>
  <c r="D197" i="10"/>
  <c r="J197" i="10"/>
  <c r="I197" i="10"/>
  <c r="H197" i="10"/>
  <c r="M197" i="10"/>
  <c r="K197" i="10"/>
  <c r="L197" i="10"/>
  <c r="F66" i="9"/>
  <c r="K66" i="9"/>
  <c r="E66" i="9"/>
  <c r="B66" i="9"/>
  <c r="M66" i="9"/>
  <c r="N66" i="9" s="1"/>
  <c r="J66" i="9"/>
  <c r="I66" i="9"/>
  <c r="H66" i="9"/>
  <c r="L66" i="9"/>
  <c r="G66" i="9"/>
  <c r="M91" i="10"/>
  <c r="K91" i="10"/>
  <c r="J91" i="10"/>
  <c r="F91" i="10"/>
  <c r="I91" i="10"/>
  <c r="H91" i="10"/>
  <c r="G91" i="10"/>
  <c r="E91" i="10"/>
  <c r="C91" i="10"/>
  <c r="N91" i="10"/>
  <c r="O91" i="10" s="1"/>
  <c r="D91" i="10"/>
  <c r="L91" i="10"/>
  <c r="B91" i="10"/>
  <c r="K176" i="8"/>
  <c r="J176" i="8"/>
  <c r="I176" i="8"/>
  <c r="H176" i="8"/>
  <c r="G176" i="8"/>
  <c r="B176" i="8"/>
  <c r="D176" i="8"/>
  <c r="C176" i="8"/>
  <c r="M176" i="8"/>
  <c r="N176" i="8" s="1"/>
  <c r="L176" i="8"/>
  <c r="H90" i="8"/>
  <c r="G90" i="8"/>
  <c r="M90" i="8"/>
  <c r="N90" i="8" s="1"/>
  <c r="L90" i="8"/>
  <c r="J90" i="8"/>
  <c r="I90" i="8"/>
  <c r="C90" i="8"/>
  <c r="K90" i="8"/>
  <c r="D90" i="8"/>
  <c r="B90" i="8"/>
  <c r="G44" i="16"/>
  <c r="F44" i="16"/>
  <c r="H44" i="16"/>
  <c r="I44" i="16" s="1"/>
  <c r="E44" i="16"/>
  <c r="D44" i="16"/>
  <c r="C44" i="16"/>
  <c r="D41" i="16"/>
  <c r="C41" i="16"/>
  <c r="G41" i="16"/>
  <c r="F41" i="16"/>
  <c r="E41" i="16"/>
  <c r="H41" i="16"/>
  <c r="I41" i="16" s="1"/>
  <c r="I200" i="8"/>
  <c r="H200" i="8"/>
  <c r="G200" i="8"/>
  <c r="D200" i="8"/>
  <c r="L200" i="8"/>
  <c r="K200" i="8"/>
  <c r="J200" i="8"/>
  <c r="C200" i="8"/>
  <c r="M200" i="8"/>
  <c r="N200" i="8" s="1"/>
  <c r="B200" i="8"/>
  <c r="J58" i="9"/>
  <c r="K58" i="9"/>
  <c r="E58" i="9"/>
  <c r="M58" i="9"/>
  <c r="N58" i="9" s="1"/>
  <c r="L58" i="9"/>
  <c r="I58" i="9"/>
  <c r="F58" i="9"/>
  <c r="H58" i="9"/>
  <c r="G58" i="9"/>
  <c r="B58" i="9"/>
  <c r="M91" i="8"/>
  <c r="N91" i="8" s="1"/>
  <c r="L91" i="8"/>
  <c r="K91" i="8"/>
  <c r="H91" i="8"/>
  <c r="D91" i="8"/>
  <c r="C91" i="8"/>
  <c r="B91" i="8"/>
  <c r="J91" i="8"/>
  <c r="I91" i="8"/>
  <c r="G91" i="8"/>
  <c r="M138" i="9"/>
  <c r="N138" i="9" s="1"/>
  <c r="L138" i="9"/>
  <c r="K138" i="9"/>
  <c r="H138" i="9"/>
  <c r="G138" i="9"/>
  <c r="F138" i="9"/>
  <c r="B138" i="9"/>
  <c r="I138" i="9"/>
  <c r="J138" i="9"/>
  <c r="E138" i="9"/>
  <c r="C32" i="8"/>
  <c r="D32" i="8"/>
  <c r="B32" i="8"/>
  <c r="K32" i="8"/>
  <c r="J32" i="8"/>
  <c r="L32" i="8"/>
  <c r="I32" i="8"/>
  <c r="G32" i="8"/>
  <c r="H32" i="8"/>
  <c r="H191" i="8"/>
  <c r="G191" i="8"/>
  <c r="C191" i="8"/>
  <c r="J191" i="8"/>
  <c r="D191" i="8"/>
  <c r="I191" i="8"/>
  <c r="B191" i="8"/>
  <c r="M191" i="8"/>
  <c r="N191" i="8" s="1"/>
  <c r="L191" i="8"/>
  <c r="K191" i="8"/>
  <c r="M40" i="10"/>
  <c r="L40" i="10"/>
  <c r="H40" i="10"/>
  <c r="I40" i="10"/>
  <c r="G40" i="10"/>
  <c r="F40" i="10"/>
  <c r="E40" i="10"/>
  <c r="C40" i="10"/>
  <c r="N40" i="10"/>
  <c r="O40" i="10" s="1"/>
  <c r="K40" i="10"/>
  <c r="B40" i="10"/>
  <c r="D40" i="10"/>
  <c r="J40" i="10"/>
  <c r="D120" i="8"/>
  <c r="C120" i="8"/>
  <c r="B120" i="8"/>
  <c r="M120" i="8"/>
  <c r="N120" i="8" s="1"/>
  <c r="G120" i="8"/>
  <c r="L120" i="8"/>
  <c r="K120" i="8"/>
  <c r="J120" i="8"/>
  <c r="I120" i="8"/>
  <c r="H120" i="8"/>
  <c r="E166" i="9"/>
  <c r="B166" i="9"/>
  <c r="J166" i="9"/>
  <c r="I166" i="9"/>
  <c r="H166" i="9"/>
  <c r="G166" i="9"/>
  <c r="F166" i="9"/>
  <c r="M166" i="9"/>
  <c r="N166" i="9" s="1"/>
  <c r="L166" i="9"/>
  <c r="K166" i="9"/>
  <c r="H86" i="16"/>
  <c r="I86" i="16" s="1"/>
  <c r="C86" i="16"/>
  <c r="G86" i="16"/>
  <c r="F86" i="16"/>
  <c r="D86" i="16"/>
  <c r="E86" i="16"/>
  <c r="M114" i="7"/>
  <c r="L114" i="7"/>
  <c r="K114" i="7"/>
  <c r="H114" i="7"/>
  <c r="G114" i="7"/>
  <c r="N114" i="7"/>
  <c r="O114" i="7" s="1"/>
  <c r="J114" i="7"/>
  <c r="I114" i="7"/>
  <c r="F114" i="7"/>
  <c r="D114" i="7"/>
  <c r="E114" i="7"/>
  <c r="B114" i="7"/>
  <c r="C114" i="7"/>
  <c r="I7" i="10"/>
  <c r="F7" i="10"/>
  <c r="E7" i="10"/>
  <c r="D7" i="10"/>
  <c r="C7" i="10"/>
  <c r="M7" i="10"/>
  <c r="L7" i="10"/>
  <c r="K7" i="10"/>
  <c r="H7" i="10"/>
  <c r="G7" i="10"/>
  <c r="B7" i="10"/>
  <c r="J7" i="10"/>
  <c r="K23" i="10"/>
  <c r="J23" i="10"/>
  <c r="L23" i="10"/>
  <c r="I23" i="10"/>
  <c r="H23" i="10"/>
  <c r="G23" i="10"/>
  <c r="F23" i="10"/>
  <c r="E23" i="10"/>
  <c r="D23" i="10"/>
  <c r="B23" i="10"/>
  <c r="C23" i="10"/>
  <c r="M23" i="10"/>
  <c r="G39" i="18"/>
  <c r="F39" i="18"/>
  <c r="D39" i="18"/>
  <c r="C39" i="18"/>
  <c r="H39" i="18"/>
  <c r="I39" i="18" s="1"/>
  <c r="E39" i="18"/>
  <c r="E45" i="7"/>
  <c r="D45" i="7"/>
  <c r="C45" i="7"/>
  <c r="M45" i="7"/>
  <c r="K45" i="7"/>
  <c r="L45" i="7"/>
  <c r="F45" i="7"/>
  <c r="H45" i="7"/>
  <c r="J45" i="7"/>
  <c r="G45" i="7"/>
  <c r="B45" i="7"/>
  <c r="G95" i="9"/>
  <c r="B95" i="9"/>
  <c r="M95" i="9"/>
  <c r="N95" i="9" s="1"/>
  <c r="L95" i="9"/>
  <c r="K95" i="9"/>
  <c r="H95" i="9"/>
  <c r="F95" i="9"/>
  <c r="J95" i="9"/>
  <c r="I95" i="9"/>
  <c r="E95" i="9"/>
  <c r="N57" i="10"/>
  <c r="O57" i="10" s="1"/>
  <c r="J57" i="10"/>
  <c r="D57" i="10"/>
  <c r="C57" i="10"/>
  <c r="B57" i="10"/>
  <c r="L57" i="10"/>
  <c r="K57" i="10"/>
  <c r="I57" i="10"/>
  <c r="H57" i="10"/>
  <c r="F57" i="10"/>
  <c r="E57" i="10"/>
  <c r="M57" i="10"/>
  <c r="G57" i="10"/>
  <c r="E159" i="10"/>
  <c r="D159" i="10"/>
  <c r="C159" i="10"/>
  <c r="K159" i="10"/>
  <c r="J159" i="10"/>
  <c r="F159" i="10"/>
  <c r="M159" i="10"/>
  <c r="N159" i="10"/>
  <c r="O159" i="10" s="1"/>
  <c r="L159" i="10"/>
  <c r="G159" i="10"/>
  <c r="H159" i="10"/>
  <c r="B159" i="10"/>
  <c r="I159" i="10"/>
  <c r="H72" i="7"/>
  <c r="G72" i="7"/>
  <c r="F72" i="7"/>
  <c r="E72" i="7"/>
  <c r="C72" i="7"/>
  <c r="J72" i="7"/>
  <c r="D72" i="7"/>
  <c r="N72" i="7"/>
  <c r="O72" i="7" s="1"/>
  <c r="M72" i="7"/>
  <c r="L72" i="7"/>
  <c r="K72" i="7"/>
  <c r="I72" i="7"/>
  <c r="B72" i="7"/>
  <c r="G55" i="10"/>
  <c r="F55" i="10"/>
  <c r="B55" i="10"/>
  <c r="N55" i="10"/>
  <c r="O55" i="10" s="1"/>
  <c r="M55" i="10"/>
  <c r="L55" i="10"/>
  <c r="J55" i="10"/>
  <c r="K55" i="10"/>
  <c r="I55" i="10"/>
  <c r="E55" i="10"/>
  <c r="H55" i="10"/>
  <c r="D55" i="10"/>
  <c r="C55" i="10"/>
  <c r="L185" i="9"/>
  <c r="J185" i="9"/>
  <c r="I185" i="9"/>
  <c r="G185" i="9"/>
  <c r="M185" i="9"/>
  <c r="N185" i="9" s="1"/>
  <c r="E185" i="9"/>
  <c r="B185" i="9"/>
  <c r="F185" i="9"/>
  <c r="H185" i="9"/>
  <c r="K185" i="9"/>
  <c r="J16" i="8"/>
  <c r="I16" i="8"/>
  <c r="H16" i="8"/>
  <c r="D16" i="8"/>
  <c r="C16" i="8"/>
  <c r="B16" i="8"/>
  <c r="L16" i="8"/>
  <c r="K16" i="8"/>
  <c r="G16" i="8"/>
  <c r="C164" i="10"/>
  <c r="B164" i="10"/>
  <c r="E164" i="10"/>
  <c r="D164" i="10"/>
  <c r="K164" i="10"/>
  <c r="J164" i="10"/>
  <c r="I164" i="10"/>
  <c r="H164" i="10"/>
  <c r="F164" i="10"/>
  <c r="M164" i="10"/>
  <c r="L164" i="10"/>
  <c r="G164" i="10"/>
  <c r="N164" i="10"/>
  <c r="O164" i="10" s="1"/>
  <c r="D85" i="10"/>
  <c r="C85" i="10"/>
  <c r="K85" i="10"/>
  <c r="J85" i="10"/>
  <c r="I85" i="10"/>
  <c r="H85" i="10"/>
  <c r="F85" i="10"/>
  <c r="N85" i="10"/>
  <c r="O85" i="10" s="1"/>
  <c r="M85" i="10"/>
  <c r="L85" i="10"/>
  <c r="G85" i="10"/>
  <c r="B85" i="10"/>
  <c r="E85" i="10"/>
  <c r="H96" i="16"/>
  <c r="I96" i="16" s="1"/>
  <c r="G96" i="16"/>
  <c r="E96" i="16"/>
  <c r="F96" i="16"/>
  <c r="C96" i="16"/>
  <c r="D96" i="16"/>
  <c r="K123" i="8"/>
  <c r="H123" i="8"/>
  <c r="M123" i="8"/>
  <c r="N123" i="8" s="1"/>
  <c r="I123" i="8"/>
  <c r="L123" i="8"/>
  <c r="J123" i="8"/>
  <c r="D123" i="8"/>
  <c r="G123" i="8"/>
  <c r="C123" i="8"/>
  <c r="B123" i="8"/>
  <c r="K133" i="9"/>
  <c r="J133" i="9"/>
  <c r="I133" i="9"/>
  <c r="H133" i="9"/>
  <c r="M133" i="9"/>
  <c r="N133" i="9" s="1"/>
  <c r="L133" i="9"/>
  <c r="E133" i="9"/>
  <c r="B133" i="9"/>
  <c r="G133" i="9"/>
  <c r="F133" i="9"/>
  <c r="H81" i="16"/>
  <c r="I81" i="16" s="1"/>
  <c r="F81" i="16"/>
  <c r="E81" i="16"/>
  <c r="D81" i="16"/>
  <c r="C81" i="16"/>
  <c r="G81" i="16"/>
  <c r="G160" i="9"/>
  <c r="F160" i="9"/>
  <c r="E160" i="9"/>
  <c r="J160" i="9"/>
  <c r="I160" i="9"/>
  <c r="H160" i="9"/>
  <c r="B160" i="9"/>
  <c r="M160" i="9"/>
  <c r="N160" i="9" s="1"/>
  <c r="K160" i="9"/>
  <c r="L160" i="9"/>
  <c r="N77" i="7"/>
  <c r="O77" i="7" s="1"/>
  <c r="M77" i="7"/>
  <c r="C77" i="7"/>
  <c r="B77" i="7"/>
  <c r="L77" i="7"/>
  <c r="K77" i="7"/>
  <c r="J77" i="7"/>
  <c r="I77" i="7"/>
  <c r="G77" i="7"/>
  <c r="D77" i="7"/>
  <c r="E77" i="7"/>
  <c r="H77" i="7"/>
  <c r="F77" i="7"/>
  <c r="H54" i="7"/>
  <c r="G54" i="7"/>
  <c r="F54" i="7"/>
  <c r="D54" i="7"/>
  <c r="M54" i="7"/>
  <c r="K54" i="7"/>
  <c r="L54" i="7"/>
  <c r="J54" i="7"/>
  <c r="E54" i="7"/>
  <c r="B54" i="7"/>
  <c r="C54" i="7"/>
  <c r="N120" i="7"/>
  <c r="O120" i="7" s="1"/>
  <c r="M120" i="7"/>
  <c r="J120" i="7"/>
  <c r="I120" i="7"/>
  <c r="L120" i="7"/>
  <c r="K120" i="7"/>
  <c r="G120" i="7"/>
  <c r="D120" i="7"/>
  <c r="B120" i="7"/>
  <c r="H120" i="7"/>
  <c r="F120" i="7"/>
  <c r="E120" i="7"/>
  <c r="C120" i="7"/>
  <c r="M65" i="7"/>
  <c r="D65" i="7"/>
  <c r="C65" i="7"/>
  <c r="B65" i="7"/>
  <c r="L65" i="7"/>
  <c r="K65" i="7"/>
  <c r="I65" i="7"/>
  <c r="J65" i="7"/>
  <c r="H65" i="7"/>
  <c r="G65" i="7"/>
  <c r="F65" i="7"/>
  <c r="E65" i="7"/>
  <c r="H40" i="18"/>
  <c r="I40" i="18" s="1"/>
  <c r="G40" i="18"/>
  <c r="F40" i="18"/>
  <c r="E40" i="18"/>
  <c r="D40" i="18"/>
  <c r="C40" i="18"/>
  <c r="I22" i="9"/>
  <c r="H22" i="9"/>
  <c r="G22" i="9"/>
  <c r="L22" i="9"/>
  <c r="K22" i="9"/>
  <c r="J22" i="9"/>
  <c r="E22" i="9"/>
  <c r="B22" i="9"/>
  <c r="F22" i="9"/>
  <c r="C40" i="16"/>
  <c r="H40" i="16"/>
  <c r="I40" i="16" s="1"/>
  <c r="G40" i="16"/>
  <c r="F40" i="16"/>
  <c r="E40" i="16"/>
  <c r="D40" i="16"/>
  <c r="N154" i="7"/>
  <c r="O154" i="7" s="1"/>
  <c r="M154" i="7"/>
  <c r="L154" i="7"/>
  <c r="K154" i="7"/>
  <c r="J154" i="7"/>
  <c r="I154" i="7"/>
  <c r="G154" i="7"/>
  <c r="H154" i="7"/>
  <c r="F154" i="7"/>
  <c r="D154" i="7"/>
  <c r="B154" i="7"/>
  <c r="E154" i="7"/>
  <c r="C154" i="7"/>
  <c r="K96" i="10"/>
  <c r="D96" i="10"/>
  <c r="C96" i="10"/>
  <c r="B96" i="10"/>
  <c r="N96" i="10"/>
  <c r="O96" i="10" s="1"/>
  <c r="M96" i="10"/>
  <c r="L96" i="10"/>
  <c r="H96" i="10"/>
  <c r="G96" i="10"/>
  <c r="J96" i="10"/>
  <c r="I96" i="10"/>
  <c r="F96" i="10"/>
  <c r="E96" i="10"/>
  <c r="C183" i="7"/>
  <c r="B183" i="7"/>
  <c r="F183" i="7"/>
  <c r="E183" i="7"/>
  <c r="D183" i="7"/>
  <c r="N183" i="7"/>
  <c r="O183" i="7" s="1"/>
  <c r="M183" i="7"/>
  <c r="H183" i="7"/>
  <c r="G183" i="7"/>
  <c r="L183" i="7"/>
  <c r="K183" i="7"/>
  <c r="J183" i="7"/>
  <c r="I183" i="7"/>
  <c r="E178" i="7"/>
  <c r="D178" i="7"/>
  <c r="C178" i="7"/>
  <c r="L178" i="7"/>
  <c r="K178" i="7"/>
  <c r="J178" i="7"/>
  <c r="I178" i="7"/>
  <c r="G178" i="7"/>
  <c r="N178" i="7"/>
  <c r="O178" i="7" s="1"/>
  <c r="M178" i="7"/>
  <c r="H178" i="7"/>
  <c r="F178" i="7"/>
  <c r="B178" i="7"/>
  <c r="M161" i="10"/>
  <c r="L161" i="10"/>
  <c r="K161" i="10"/>
  <c r="H161" i="10"/>
  <c r="G161" i="10"/>
  <c r="B161" i="10"/>
  <c r="N161" i="10"/>
  <c r="O161" i="10" s="1"/>
  <c r="I161" i="10"/>
  <c r="E161" i="10"/>
  <c r="D161" i="10"/>
  <c r="J161" i="10"/>
  <c r="F161" i="10"/>
  <c r="C161" i="10"/>
  <c r="F102" i="16"/>
  <c r="E102" i="16"/>
  <c r="D102" i="16"/>
  <c r="H102" i="16"/>
  <c r="I102" i="16" s="1"/>
  <c r="C102" i="16"/>
  <c r="G102" i="16"/>
  <c r="M136" i="7"/>
  <c r="L136" i="7"/>
  <c r="K136" i="7"/>
  <c r="H136" i="7"/>
  <c r="G136" i="7"/>
  <c r="I136" i="7"/>
  <c r="F136" i="7"/>
  <c r="E136" i="7"/>
  <c r="D136" i="7"/>
  <c r="B136" i="7"/>
  <c r="J136" i="7"/>
  <c r="C136" i="7"/>
  <c r="N136" i="7"/>
  <c r="O136" i="7" s="1"/>
  <c r="E19" i="16"/>
  <c r="G19" i="16"/>
  <c r="C19" i="16"/>
  <c r="F19" i="16"/>
  <c r="D19" i="16"/>
  <c r="E25" i="16"/>
  <c r="D25" i="16"/>
  <c r="G25" i="16"/>
  <c r="F25" i="16"/>
  <c r="C25" i="16"/>
  <c r="H25" i="16"/>
  <c r="I25" i="16" s="1"/>
  <c r="E147" i="9"/>
  <c r="B147" i="9"/>
  <c r="J147" i="9"/>
  <c r="I147" i="9"/>
  <c r="H147" i="9"/>
  <c r="G147" i="9"/>
  <c r="K147" i="9"/>
  <c r="F147" i="9"/>
  <c r="M147" i="9"/>
  <c r="N147" i="9" s="1"/>
  <c r="L147" i="9"/>
  <c r="C28" i="18"/>
  <c r="G28" i="18"/>
  <c r="F28" i="18"/>
  <c r="E28" i="18"/>
  <c r="H28" i="18"/>
  <c r="I28" i="18" s="1"/>
  <c r="D28" i="18"/>
  <c r="E203" i="10"/>
  <c r="D203" i="10"/>
  <c r="N203" i="10"/>
  <c r="O203" i="10" s="1"/>
  <c r="M203" i="10"/>
  <c r="L203" i="10"/>
  <c r="I203" i="10"/>
  <c r="H203" i="10"/>
  <c r="J203" i="10"/>
  <c r="F203" i="10"/>
  <c r="G203" i="10"/>
  <c r="C203" i="10"/>
  <c r="B203" i="10"/>
  <c r="K203" i="10"/>
  <c r="F40" i="9"/>
  <c r="M40" i="9"/>
  <c r="L40" i="9"/>
  <c r="K40" i="9"/>
  <c r="H40" i="9"/>
  <c r="G40" i="9"/>
  <c r="B40" i="9"/>
  <c r="I40" i="9"/>
  <c r="E40" i="9"/>
  <c r="N40" i="9"/>
  <c r="J40" i="9"/>
  <c r="E56" i="16"/>
  <c r="C56" i="16"/>
  <c r="H56" i="16"/>
  <c r="I56" i="16" s="1"/>
  <c r="G56" i="16"/>
  <c r="D56" i="16"/>
  <c r="F56" i="16"/>
  <c r="H27" i="16"/>
  <c r="I27" i="16" s="1"/>
  <c r="G27" i="16"/>
  <c r="C27" i="16"/>
  <c r="F27" i="16"/>
  <c r="E27" i="16"/>
  <c r="D27" i="16"/>
  <c r="N68" i="10"/>
  <c r="O68" i="10" s="1"/>
  <c r="J68" i="10"/>
  <c r="F68" i="10"/>
  <c r="E68" i="10"/>
  <c r="D68" i="10"/>
  <c r="C68" i="10"/>
  <c r="K68" i="10"/>
  <c r="I68" i="10"/>
  <c r="H68" i="10"/>
  <c r="G68" i="10"/>
  <c r="M68" i="10"/>
  <c r="L68" i="10"/>
  <c r="B68" i="10"/>
  <c r="E108" i="9"/>
  <c r="F108" i="9"/>
  <c r="H108" i="9"/>
  <c r="G108" i="9"/>
  <c r="B108" i="9"/>
  <c r="J108" i="9"/>
  <c r="L108" i="9"/>
  <c r="K108" i="9"/>
  <c r="I108" i="9"/>
  <c r="M108" i="9"/>
  <c r="N108" i="9" s="1"/>
  <c r="C35" i="16"/>
  <c r="E35" i="16"/>
  <c r="D35" i="16"/>
  <c r="H35" i="16"/>
  <c r="I35" i="16" s="1"/>
  <c r="G35" i="16"/>
  <c r="F35" i="16"/>
  <c r="G18" i="9"/>
  <c r="F18" i="9"/>
  <c r="B18" i="9"/>
  <c r="J18" i="9"/>
  <c r="I18" i="9"/>
  <c r="E18" i="9"/>
  <c r="L18" i="9"/>
  <c r="K18" i="9"/>
  <c r="D151" i="8"/>
  <c r="C151" i="8"/>
  <c r="B151" i="8"/>
  <c r="J151" i="8"/>
  <c r="G151" i="8"/>
  <c r="K151" i="8"/>
  <c r="I151" i="8"/>
  <c r="M151" i="8"/>
  <c r="N151" i="8" s="1"/>
  <c r="L151" i="8"/>
  <c r="H151" i="8"/>
  <c r="D72" i="8"/>
  <c r="J72" i="8"/>
  <c r="G72" i="8"/>
  <c r="C72" i="8"/>
  <c r="B72" i="8"/>
  <c r="M72" i="8"/>
  <c r="N72" i="8" s="1"/>
  <c r="L72" i="8"/>
  <c r="H72" i="8"/>
  <c r="K72" i="8"/>
  <c r="I72" i="8"/>
  <c r="D43" i="8"/>
  <c r="L43" i="8"/>
  <c r="J43" i="8"/>
  <c r="B43" i="8"/>
  <c r="K43" i="8"/>
  <c r="I43" i="8"/>
  <c r="G43" i="8"/>
  <c r="H43" i="8"/>
  <c r="C43" i="8"/>
  <c r="M180" i="8"/>
  <c r="N180" i="8" s="1"/>
  <c r="L180" i="8"/>
  <c r="K180" i="8"/>
  <c r="I180" i="8"/>
  <c r="H180" i="8"/>
  <c r="J180" i="8"/>
  <c r="G180" i="8"/>
  <c r="B180" i="8"/>
  <c r="D180" i="8"/>
  <c r="C180" i="8"/>
  <c r="C14" i="8"/>
  <c r="H14" i="8"/>
  <c r="B14" i="8"/>
  <c r="G14" i="8"/>
  <c r="D14" i="8"/>
  <c r="L14" i="8"/>
  <c r="K14" i="8"/>
  <c r="I14" i="8"/>
  <c r="J14" i="8"/>
  <c r="M199" i="7"/>
  <c r="L199" i="7"/>
  <c r="K199" i="7"/>
  <c r="F199" i="7"/>
  <c r="D199" i="7"/>
  <c r="C199" i="7"/>
  <c r="B199" i="7"/>
  <c r="E199" i="7"/>
  <c r="N199" i="7"/>
  <c r="O199" i="7" s="1"/>
  <c r="J199" i="7"/>
  <c r="I199" i="7"/>
  <c r="G199" i="7"/>
  <c r="H199" i="7"/>
  <c r="L28" i="9"/>
  <c r="K28" i="9"/>
  <c r="J28" i="9"/>
  <c r="I28" i="9"/>
  <c r="F28" i="9"/>
  <c r="E28" i="9"/>
  <c r="G28" i="9"/>
  <c r="B28" i="9"/>
  <c r="M28" i="9"/>
  <c r="N28" i="9" s="1"/>
  <c r="H28" i="9"/>
  <c r="M195" i="9"/>
  <c r="N195" i="9" s="1"/>
  <c r="H195" i="9"/>
  <c r="G195" i="9"/>
  <c r="F195" i="9"/>
  <c r="E195" i="9"/>
  <c r="B195" i="9"/>
  <c r="I195" i="9"/>
  <c r="K195" i="9"/>
  <c r="J195" i="9"/>
  <c r="L195" i="9"/>
  <c r="F82" i="18"/>
  <c r="E82" i="18"/>
  <c r="D82" i="18"/>
  <c r="C82" i="18"/>
  <c r="H82" i="18"/>
  <c r="I82" i="18" s="1"/>
  <c r="G82" i="18"/>
  <c r="F42" i="10"/>
  <c r="E42" i="10"/>
  <c r="D42" i="10"/>
  <c r="C42" i="10"/>
  <c r="B42" i="10"/>
  <c r="N42" i="10"/>
  <c r="O42" i="10" s="1"/>
  <c r="M42" i="10"/>
  <c r="K42" i="10"/>
  <c r="L42" i="10"/>
  <c r="H42" i="10"/>
  <c r="J42" i="10"/>
  <c r="I42" i="10"/>
  <c r="G42" i="10"/>
  <c r="G138" i="8"/>
  <c r="D138" i="8"/>
  <c r="B138" i="8"/>
  <c r="K138" i="8"/>
  <c r="J138" i="8"/>
  <c r="I138" i="8"/>
  <c r="H138" i="8"/>
  <c r="C138" i="8"/>
  <c r="M138" i="8"/>
  <c r="N138" i="8" s="1"/>
  <c r="L138" i="8"/>
  <c r="J45" i="8"/>
  <c r="H45" i="8"/>
  <c r="L45" i="8"/>
  <c r="I45" i="8"/>
  <c r="K45" i="8"/>
  <c r="G45" i="8"/>
  <c r="D45" i="8"/>
  <c r="C45" i="8"/>
  <c r="B45" i="8"/>
  <c r="E115" i="10"/>
  <c r="D115" i="10"/>
  <c r="C115" i="10"/>
  <c r="L115" i="10"/>
  <c r="N115" i="10"/>
  <c r="O115" i="10" s="1"/>
  <c r="M115" i="10"/>
  <c r="J115" i="10"/>
  <c r="K115" i="10"/>
  <c r="H115" i="10"/>
  <c r="G115" i="10"/>
  <c r="I115" i="10"/>
  <c r="F115" i="10"/>
  <c r="B115" i="10"/>
  <c r="M107" i="9"/>
  <c r="N107" i="9" s="1"/>
  <c r="L107" i="9"/>
  <c r="K107" i="9"/>
  <c r="B107" i="9"/>
  <c r="J107" i="9"/>
  <c r="I107" i="9"/>
  <c r="G107" i="9"/>
  <c r="H107" i="9"/>
  <c r="E107" i="9"/>
  <c r="F107" i="9"/>
  <c r="F16" i="16"/>
  <c r="D16" i="16"/>
  <c r="G16" i="16"/>
  <c r="C16" i="16"/>
  <c r="E16" i="16"/>
  <c r="G103" i="8"/>
  <c r="D103" i="8"/>
  <c r="K103" i="8"/>
  <c r="M103" i="8"/>
  <c r="N103" i="8" s="1"/>
  <c r="I103" i="8"/>
  <c r="L103" i="8"/>
  <c r="J103" i="8"/>
  <c r="C103" i="8"/>
  <c r="B103" i="8"/>
  <c r="H103" i="8"/>
  <c r="H70" i="16"/>
  <c r="I70" i="16" s="1"/>
  <c r="F70" i="16"/>
  <c r="E70" i="16"/>
  <c r="G70" i="16"/>
  <c r="D70" i="16"/>
  <c r="C70" i="16"/>
  <c r="M37" i="9"/>
  <c r="N37" i="9" s="1"/>
  <c r="L37" i="9"/>
  <c r="K37" i="9"/>
  <c r="J37" i="9"/>
  <c r="H37" i="9"/>
  <c r="I37" i="9"/>
  <c r="G37" i="9"/>
  <c r="F37" i="9"/>
  <c r="E37" i="9"/>
  <c r="B37" i="9"/>
  <c r="C65" i="10"/>
  <c r="B65" i="10"/>
  <c r="J65" i="10"/>
  <c r="I65" i="10"/>
  <c r="H65" i="10"/>
  <c r="G65" i="10"/>
  <c r="E65" i="10"/>
  <c r="N65" i="10"/>
  <c r="O65" i="10" s="1"/>
  <c r="M65" i="10"/>
  <c r="L65" i="10"/>
  <c r="K65" i="10"/>
  <c r="D65" i="10"/>
  <c r="F65" i="10"/>
  <c r="I115" i="9"/>
  <c r="H115" i="9"/>
  <c r="G115" i="9"/>
  <c r="J115" i="9"/>
  <c r="B115" i="9"/>
  <c r="M115" i="9"/>
  <c r="N115" i="9" s="1"/>
  <c r="L115" i="9"/>
  <c r="K115" i="9"/>
  <c r="E115" i="9"/>
  <c r="F115" i="9"/>
  <c r="L30" i="7"/>
  <c r="K30" i="7"/>
  <c r="H30" i="7"/>
  <c r="I30" i="7"/>
  <c r="F30" i="7"/>
  <c r="E30" i="7"/>
  <c r="D30" i="7"/>
  <c r="M30" i="7"/>
  <c r="J30" i="7"/>
  <c r="B30" i="7"/>
  <c r="G30" i="7"/>
  <c r="C30" i="7"/>
  <c r="E13" i="9"/>
  <c r="L13" i="9"/>
  <c r="K13" i="9"/>
  <c r="I13" i="9"/>
  <c r="B13" i="9"/>
  <c r="G13" i="9"/>
  <c r="F13" i="9"/>
  <c r="J13" i="9"/>
  <c r="H13" i="9"/>
  <c r="F15" i="16"/>
  <c r="G15" i="16"/>
  <c r="E15" i="16"/>
  <c r="C15" i="16"/>
  <c r="D15" i="16"/>
  <c r="M168" i="9"/>
  <c r="N168" i="9" s="1"/>
  <c r="L168" i="9"/>
  <c r="J168" i="9"/>
  <c r="B168" i="9"/>
  <c r="G168" i="9"/>
  <c r="F168" i="9"/>
  <c r="I168" i="9"/>
  <c r="H168" i="9"/>
  <c r="K168" i="9"/>
  <c r="E168" i="9"/>
  <c r="J32" i="9"/>
  <c r="M32" i="9"/>
  <c r="L32" i="9"/>
  <c r="K32" i="9"/>
  <c r="G32" i="9"/>
  <c r="F32" i="9"/>
  <c r="N32" i="9"/>
  <c r="H32" i="9"/>
  <c r="E32" i="9"/>
  <c r="B32" i="9"/>
  <c r="I32" i="9"/>
  <c r="D94" i="8"/>
  <c r="H94" i="8"/>
  <c r="G94" i="8"/>
  <c r="B94" i="8"/>
  <c r="C94" i="8"/>
  <c r="K94" i="8"/>
  <c r="L94" i="8"/>
  <c r="J94" i="8"/>
  <c r="M94" i="8"/>
  <c r="N94" i="8" s="1"/>
  <c r="I94" i="8"/>
  <c r="B102" i="8"/>
  <c r="D102" i="8"/>
  <c r="I102" i="8"/>
  <c r="H102" i="8"/>
  <c r="G102" i="8"/>
  <c r="C102" i="8"/>
  <c r="L102" i="8"/>
  <c r="K102" i="8"/>
  <c r="J102" i="8"/>
  <c r="M102" i="8"/>
  <c r="N102" i="8" s="1"/>
  <c r="D155" i="8"/>
  <c r="C155" i="8"/>
  <c r="B155" i="8"/>
  <c r="M155" i="8"/>
  <c r="N155" i="8" s="1"/>
  <c r="K155" i="8"/>
  <c r="J155" i="8"/>
  <c r="I155" i="8"/>
  <c r="H155" i="8"/>
  <c r="G155" i="8"/>
  <c r="L155" i="8"/>
  <c r="E156" i="7"/>
  <c r="D156" i="7"/>
  <c r="C156" i="7"/>
  <c r="N156" i="7"/>
  <c r="O156" i="7" s="1"/>
  <c r="M156" i="7"/>
  <c r="L156" i="7"/>
  <c r="K156" i="7"/>
  <c r="I156" i="7"/>
  <c r="H156" i="7"/>
  <c r="J156" i="7"/>
  <c r="G156" i="7"/>
  <c r="F156" i="7"/>
  <c r="B156" i="7"/>
  <c r="I110" i="8"/>
  <c r="H110" i="8"/>
  <c r="G110" i="8"/>
  <c r="D110" i="8"/>
  <c r="C110" i="8"/>
  <c r="B110" i="8"/>
  <c r="M110" i="8"/>
  <c r="N110" i="8" s="1"/>
  <c r="L110" i="8"/>
  <c r="K110" i="8"/>
  <c r="J110" i="8"/>
  <c r="G84" i="18"/>
  <c r="H84" i="18"/>
  <c r="I84" i="18" s="1"/>
  <c r="D84" i="18"/>
  <c r="C84" i="18"/>
  <c r="F84" i="18"/>
  <c r="E84" i="18"/>
  <c r="H71" i="16"/>
  <c r="I71" i="16" s="1"/>
  <c r="F71" i="16"/>
  <c r="E71" i="16"/>
  <c r="D71" i="16"/>
  <c r="G71" i="16"/>
  <c r="C71" i="16"/>
  <c r="L140" i="10"/>
  <c r="K140" i="10"/>
  <c r="N140" i="10"/>
  <c r="O140" i="10" s="1"/>
  <c r="H140" i="10"/>
  <c r="J140" i="10"/>
  <c r="I140" i="10"/>
  <c r="G140" i="10"/>
  <c r="F140" i="10"/>
  <c r="D140" i="10"/>
  <c r="M140" i="10"/>
  <c r="E140" i="10"/>
  <c r="C140" i="10"/>
  <c r="B140" i="10"/>
  <c r="C127" i="7"/>
  <c r="B127" i="7"/>
  <c r="G127" i="7"/>
  <c r="F127" i="7"/>
  <c r="E127" i="7"/>
  <c r="D127" i="7"/>
  <c r="N127" i="7"/>
  <c r="O127" i="7" s="1"/>
  <c r="M127" i="7"/>
  <c r="L127" i="7"/>
  <c r="K127" i="7"/>
  <c r="J127" i="7"/>
  <c r="I127" i="7"/>
  <c r="H127" i="7"/>
  <c r="G19" i="18"/>
  <c r="F19" i="18"/>
  <c r="D19" i="18"/>
  <c r="C19" i="18"/>
  <c r="E19" i="18"/>
  <c r="H19" i="18"/>
  <c r="I19" i="18" s="1"/>
  <c r="G51" i="18"/>
  <c r="F51" i="18"/>
  <c r="D51" i="18"/>
  <c r="H51" i="18"/>
  <c r="I51" i="18" s="1"/>
  <c r="C51" i="18"/>
  <c r="E51" i="18"/>
  <c r="N48" i="10"/>
  <c r="O48" i="10" s="1"/>
  <c r="M48" i="10"/>
  <c r="L48" i="10"/>
  <c r="J48" i="10"/>
  <c r="K48" i="10"/>
  <c r="I48" i="10"/>
  <c r="H48" i="10"/>
  <c r="G48" i="10"/>
  <c r="E48" i="10"/>
  <c r="C48" i="10"/>
  <c r="F48" i="10"/>
  <c r="D48" i="10"/>
  <c r="B48" i="10"/>
  <c r="M125" i="7"/>
  <c r="L125" i="7"/>
  <c r="K125" i="7"/>
  <c r="H125" i="7"/>
  <c r="G125" i="7"/>
  <c r="J125" i="7"/>
  <c r="I125" i="7"/>
  <c r="F125" i="7"/>
  <c r="E125" i="7"/>
  <c r="C125" i="7"/>
  <c r="B125" i="7"/>
  <c r="N125" i="7"/>
  <c r="O125" i="7" s="1"/>
  <c r="D125" i="7"/>
  <c r="E24" i="10"/>
  <c r="D24" i="10"/>
  <c r="C24" i="10"/>
  <c r="B24" i="10"/>
  <c r="J24" i="10"/>
  <c r="I24" i="10"/>
  <c r="H24" i="10"/>
  <c r="G24" i="10"/>
  <c r="M24" i="10"/>
  <c r="L24" i="10"/>
  <c r="F24" i="10"/>
  <c r="K24" i="10"/>
  <c r="B179" i="9"/>
  <c r="M179" i="9"/>
  <c r="N179" i="9" s="1"/>
  <c r="J179" i="9"/>
  <c r="I179" i="9"/>
  <c r="L179" i="9"/>
  <c r="K179" i="9"/>
  <c r="F179" i="9"/>
  <c r="E179" i="9"/>
  <c r="H179" i="9"/>
  <c r="G179" i="9"/>
  <c r="B157" i="9"/>
  <c r="G157" i="9"/>
  <c r="F157" i="9"/>
  <c r="E157" i="9"/>
  <c r="M157" i="9"/>
  <c r="N157" i="9" s="1"/>
  <c r="I157" i="9"/>
  <c r="H157" i="9"/>
  <c r="J157" i="9"/>
  <c r="L157" i="9"/>
  <c r="K157" i="9"/>
  <c r="H193" i="9"/>
  <c r="F193" i="9"/>
  <c r="E193" i="9"/>
  <c r="M193" i="9"/>
  <c r="N193" i="9" s="1"/>
  <c r="L193" i="9"/>
  <c r="I193" i="9"/>
  <c r="B193" i="9"/>
  <c r="J193" i="9"/>
  <c r="G193" i="9"/>
  <c r="K193" i="9"/>
  <c r="F58" i="16"/>
  <c r="D58" i="16"/>
  <c r="G58" i="16"/>
  <c r="E58" i="16"/>
  <c r="C58" i="16"/>
  <c r="H58" i="16"/>
  <c r="I58" i="16" s="1"/>
  <c r="N132" i="7"/>
  <c r="M132" i="7"/>
  <c r="O132" i="7"/>
  <c r="K132" i="7"/>
  <c r="J132" i="7"/>
  <c r="I132" i="7"/>
  <c r="H132" i="7"/>
  <c r="L132" i="7"/>
  <c r="D132" i="7"/>
  <c r="C132" i="7"/>
  <c r="B132" i="7"/>
  <c r="G132" i="7"/>
  <c r="E132" i="7"/>
  <c r="F132" i="7"/>
  <c r="K198" i="9"/>
  <c r="J198" i="9"/>
  <c r="I198" i="9"/>
  <c r="H198" i="9"/>
  <c r="F198" i="9"/>
  <c r="M198" i="9"/>
  <c r="N198" i="9" s="1"/>
  <c r="L198" i="9"/>
  <c r="G198" i="9"/>
  <c r="E198" i="9"/>
  <c r="B198" i="9"/>
  <c r="G78" i="16"/>
  <c r="F78" i="16"/>
  <c r="H78" i="16"/>
  <c r="I78" i="16" s="1"/>
  <c r="E78" i="16"/>
  <c r="C78" i="16"/>
  <c r="D78" i="16"/>
  <c r="I180" i="9"/>
  <c r="G180" i="9"/>
  <c r="F180" i="9"/>
  <c r="B180" i="9"/>
  <c r="M180" i="9"/>
  <c r="N180" i="9" s="1"/>
  <c r="L180" i="9"/>
  <c r="K180" i="9"/>
  <c r="H180" i="9"/>
  <c r="E180" i="9"/>
  <c r="J180" i="9"/>
  <c r="J53" i="8"/>
  <c r="H53" i="8"/>
  <c r="G53" i="8"/>
  <c r="C53" i="8"/>
  <c r="B53" i="8"/>
  <c r="D53" i="8"/>
  <c r="L53" i="8"/>
  <c r="I53" i="8"/>
  <c r="M53" i="8"/>
  <c r="N53" i="8" s="1"/>
  <c r="K53" i="8"/>
  <c r="C142" i="10"/>
  <c r="B142" i="10"/>
  <c r="G142" i="10"/>
  <c r="F142" i="10"/>
  <c r="E142" i="10"/>
  <c r="D142" i="10"/>
  <c r="L142" i="10"/>
  <c r="K142" i="10"/>
  <c r="J142" i="10"/>
  <c r="I142" i="10"/>
  <c r="N142" i="10"/>
  <c r="O142" i="10" s="1"/>
  <c r="M142" i="10"/>
  <c r="H142" i="10"/>
  <c r="D167" i="8"/>
  <c r="C167" i="8"/>
  <c r="B167" i="8"/>
  <c r="M167" i="8"/>
  <c r="N167" i="8" s="1"/>
  <c r="J167" i="8"/>
  <c r="L167" i="8"/>
  <c r="K167" i="8"/>
  <c r="I167" i="8"/>
  <c r="H167" i="8"/>
  <c r="G167" i="8"/>
  <c r="I114" i="10"/>
  <c r="H114" i="10"/>
  <c r="D114" i="10"/>
  <c r="E114" i="10"/>
  <c r="C114" i="10"/>
  <c r="B114" i="10"/>
  <c r="J114" i="10"/>
  <c r="G114" i="10"/>
  <c r="F114" i="10"/>
  <c r="K114" i="10"/>
  <c r="M114" i="10"/>
  <c r="L114" i="10"/>
  <c r="N114" i="10"/>
  <c r="O114" i="10" s="1"/>
  <c r="G60" i="16"/>
  <c r="F60" i="16"/>
  <c r="E60" i="16"/>
  <c r="D60" i="16"/>
  <c r="H60" i="16"/>
  <c r="I60" i="16" s="1"/>
  <c r="C60" i="16"/>
  <c r="G151" i="7"/>
  <c r="F151" i="7"/>
  <c r="E151" i="7"/>
  <c r="B151" i="7"/>
  <c r="M151" i="7"/>
  <c r="H151" i="7"/>
  <c r="D151" i="7"/>
  <c r="C151" i="7"/>
  <c r="K151" i="7"/>
  <c r="N151" i="7"/>
  <c r="O151" i="7" s="1"/>
  <c r="I151" i="7"/>
  <c r="L151" i="7"/>
  <c r="J151" i="7"/>
  <c r="K126" i="9"/>
  <c r="J126" i="9"/>
  <c r="L126" i="9"/>
  <c r="I126" i="9"/>
  <c r="H126" i="9"/>
  <c r="M126" i="9"/>
  <c r="N126" i="9" s="1"/>
  <c r="G126" i="9"/>
  <c r="F126" i="9"/>
  <c r="B126" i="9"/>
  <c r="E126" i="9"/>
  <c r="M193" i="8"/>
  <c r="N193" i="8" s="1"/>
  <c r="G193" i="8"/>
  <c r="C193" i="8"/>
  <c r="I193" i="8"/>
  <c r="H193" i="8"/>
  <c r="D193" i="8"/>
  <c r="B193" i="8"/>
  <c r="K193" i="8"/>
  <c r="L193" i="8"/>
  <c r="J193" i="8"/>
  <c r="F88" i="9"/>
  <c r="G88" i="9"/>
  <c r="B88" i="9"/>
  <c r="I88" i="9"/>
  <c r="H88" i="9"/>
  <c r="E88" i="9"/>
  <c r="K88" i="9"/>
  <c r="J88" i="9"/>
  <c r="L88" i="9"/>
  <c r="M88" i="9"/>
  <c r="N88" i="9" s="1"/>
  <c r="G29" i="18"/>
  <c r="F29" i="18"/>
  <c r="H29" i="18"/>
  <c r="I29" i="18" s="1"/>
  <c r="D29" i="18"/>
  <c r="C29" i="18"/>
  <c r="E29" i="18"/>
  <c r="I22" i="8"/>
  <c r="G22" i="8"/>
  <c r="B22" i="8"/>
  <c r="D22" i="8"/>
  <c r="C22" i="8"/>
  <c r="J22" i="8"/>
  <c r="H22" i="8"/>
  <c r="L22" i="8"/>
  <c r="K22" i="8"/>
  <c r="D54" i="8"/>
  <c r="C54" i="8"/>
  <c r="B54" i="8"/>
  <c r="M54" i="8"/>
  <c r="N54" i="8" s="1"/>
  <c r="K54" i="8"/>
  <c r="J54" i="8"/>
  <c r="L54" i="8"/>
  <c r="I54" i="8"/>
  <c r="H54" i="8"/>
  <c r="G54" i="8"/>
  <c r="I111" i="7"/>
  <c r="H111" i="7"/>
  <c r="G111" i="7"/>
  <c r="F111" i="7"/>
  <c r="D111" i="7"/>
  <c r="L111" i="7"/>
  <c r="K111" i="7"/>
  <c r="J111" i="7"/>
  <c r="E111" i="7"/>
  <c r="B111" i="7"/>
  <c r="N111" i="7"/>
  <c r="O111" i="7" s="1"/>
  <c r="M111" i="7"/>
  <c r="C111" i="7"/>
  <c r="I182" i="7"/>
  <c r="H182" i="7"/>
  <c r="G182" i="7"/>
  <c r="F182" i="7"/>
  <c r="D182" i="7"/>
  <c r="J182" i="7"/>
  <c r="C182" i="7"/>
  <c r="B182" i="7"/>
  <c r="M182" i="7"/>
  <c r="L182" i="7"/>
  <c r="K182" i="7"/>
  <c r="N182" i="7"/>
  <c r="O182" i="7" s="1"/>
  <c r="E182" i="7"/>
  <c r="G85" i="7"/>
  <c r="F85" i="7"/>
  <c r="E85" i="7"/>
  <c r="B85" i="7"/>
  <c r="L85" i="7"/>
  <c r="K85" i="7"/>
  <c r="J85" i="7"/>
  <c r="I85" i="7"/>
  <c r="D85" i="7"/>
  <c r="C85" i="7"/>
  <c r="H85" i="7"/>
  <c r="N85" i="7"/>
  <c r="O85" i="7" s="1"/>
  <c r="M85" i="7"/>
  <c r="H79" i="8"/>
  <c r="G79" i="8"/>
  <c r="D79" i="8"/>
  <c r="C79" i="8"/>
  <c r="B79" i="8"/>
  <c r="M79" i="8"/>
  <c r="N79" i="8" s="1"/>
  <c r="K79" i="8"/>
  <c r="L79" i="8"/>
  <c r="J79" i="8"/>
  <c r="I79" i="8"/>
  <c r="N163" i="10"/>
  <c r="O163" i="10" s="1"/>
  <c r="J163" i="10"/>
  <c r="I163" i="10"/>
  <c r="H163" i="10"/>
  <c r="G163" i="10"/>
  <c r="E163" i="10"/>
  <c r="B163" i="10"/>
  <c r="M163" i="10"/>
  <c r="L163" i="10"/>
  <c r="D163" i="10"/>
  <c r="C163" i="10"/>
  <c r="K163" i="10"/>
  <c r="F163" i="10"/>
  <c r="H57" i="16"/>
  <c r="I57" i="16" s="1"/>
  <c r="E57" i="16"/>
  <c r="D57" i="16"/>
  <c r="G57" i="16"/>
  <c r="F57" i="16"/>
  <c r="C57" i="16"/>
  <c r="M39" i="7"/>
  <c r="G39" i="7"/>
  <c r="F39" i="7"/>
  <c r="E39" i="7"/>
  <c r="D39" i="7"/>
  <c r="B39" i="7"/>
  <c r="L39" i="7"/>
  <c r="H39" i="7"/>
  <c r="K39" i="7"/>
  <c r="J39" i="7"/>
  <c r="I39" i="7"/>
  <c r="C39" i="7"/>
  <c r="J16" i="7"/>
  <c r="I16" i="7"/>
  <c r="H16" i="7"/>
  <c r="G16" i="7"/>
  <c r="E16" i="7"/>
  <c r="K16" i="7"/>
  <c r="D16" i="7"/>
  <c r="C16" i="7"/>
  <c r="B16" i="7"/>
  <c r="L16" i="7"/>
  <c r="F16" i="7"/>
  <c r="M16" i="7"/>
  <c r="D9" i="18"/>
  <c r="C9" i="18"/>
  <c r="G9" i="18"/>
  <c r="F9" i="18"/>
  <c r="E9" i="18"/>
  <c r="B53" i="10"/>
  <c r="N53" i="10"/>
  <c r="O53" i="10" s="1"/>
  <c r="M53" i="10"/>
  <c r="K53" i="10"/>
  <c r="H53" i="10"/>
  <c r="G53" i="10"/>
  <c r="F53" i="10"/>
  <c r="E53" i="10"/>
  <c r="I53" i="10"/>
  <c r="D53" i="10"/>
  <c r="C53" i="10"/>
  <c r="L53" i="10"/>
  <c r="J53" i="10"/>
  <c r="N165" i="7"/>
  <c r="O165" i="7" s="1"/>
  <c r="M165" i="7"/>
  <c r="L165" i="7"/>
  <c r="K165" i="7"/>
  <c r="I165" i="7"/>
  <c r="J165" i="7"/>
  <c r="H165" i="7"/>
  <c r="C165" i="7"/>
  <c r="G165" i="7"/>
  <c r="F165" i="7"/>
  <c r="E165" i="7"/>
  <c r="B165" i="7"/>
  <c r="D165" i="7"/>
  <c r="I193" i="10"/>
  <c r="H193" i="10"/>
  <c r="G193" i="10"/>
  <c r="D193" i="10"/>
  <c r="C193" i="10"/>
  <c r="N193" i="10"/>
  <c r="O193" i="10" s="1"/>
  <c r="L193" i="10"/>
  <c r="M193" i="10"/>
  <c r="E193" i="10"/>
  <c r="K193" i="10"/>
  <c r="J193" i="10"/>
  <c r="F193" i="10"/>
  <c r="B193" i="10"/>
  <c r="M199" i="9"/>
  <c r="N199" i="9" s="1"/>
  <c r="K199" i="9"/>
  <c r="B199" i="9"/>
  <c r="L199" i="9"/>
  <c r="J199" i="9"/>
  <c r="G199" i="9"/>
  <c r="F199" i="9"/>
  <c r="E199" i="9"/>
  <c r="I199" i="9"/>
  <c r="H199" i="9"/>
  <c r="M182" i="9"/>
  <c r="N182" i="9" s="1"/>
  <c r="B182" i="9"/>
  <c r="H182" i="9"/>
  <c r="G182" i="9"/>
  <c r="F182" i="9"/>
  <c r="E182" i="9"/>
  <c r="L182" i="9"/>
  <c r="K182" i="9"/>
  <c r="J182" i="9"/>
  <c r="I182" i="9"/>
  <c r="K114" i="8"/>
  <c r="J114" i="8"/>
  <c r="I114" i="8"/>
  <c r="H114" i="8"/>
  <c r="D114" i="8"/>
  <c r="C114" i="8"/>
  <c r="B114" i="8"/>
  <c r="G114" i="8"/>
  <c r="M114" i="8"/>
  <c r="N114" i="8" s="1"/>
  <c r="L114" i="8"/>
  <c r="G11" i="10"/>
  <c r="E11" i="10"/>
  <c r="D11" i="10"/>
  <c r="C11" i="10"/>
  <c r="B11" i="10"/>
  <c r="K11" i="10"/>
  <c r="M11" i="10"/>
  <c r="I11" i="10"/>
  <c r="H11" i="10"/>
  <c r="L11" i="10"/>
  <c r="J11" i="10"/>
  <c r="F11" i="10"/>
  <c r="M61" i="7"/>
  <c r="J61" i="7"/>
  <c r="L61" i="7"/>
  <c r="K61" i="7"/>
  <c r="H61" i="7"/>
  <c r="F61" i="7"/>
  <c r="D61" i="7"/>
  <c r="C61" i="7"/>
  <c r="B61" i="7"/>
  <c r="G61" i="7"/>
  <c r="E61" i="7"/>
  <c r="I157" i="7"/>
  <c r="H157" i="7"/>
  <c r="G157" i="7"/>
  <c r="D157" i="7"/>
  <c r="C157" i="7"/>
  <c r="K157" i="7"/>
  <c r="F157" i="7"/>
  <c r="E157" i="7"/>
  <c r="J157" i="7"/>
  <c r="N157" i="7"/>
  <c r="O157" i="7" s="1"/>
  <c r="M157" i="7"/>
  <c r="L157" i="7"/>
  <c r="B157" i="7"/>
  <c r="G27" i="7"/>
  <c r="M27" i="7"/>
  <c r="K27" i="7"/>
  <c r="F27" i="7"/>
  <c r="D27" i="7"/>
  <c r="B27" i="7"/>
  <c r="I27" i="7"/>
  <c r="H27" i="7"/>
  <c r="E27" i="7"/>
  <c r="C27" i="7"/>
  <c r="L27" i="7"/>
  <c r="J27" i="7"/>
  <c r="M43" i="7"/>
  <c r="L43" i="7"/>
  <c r="K43" i="7"/>
  <c r="H43" i="7"/>
  <c r="G43" i="7"/>
  <c r="J43" i="7"/>
  <c r="F43" i="7"/>
  <c r="E43" i="7"/>
  <c r="D43" i="7"/>
  <c r="C43" i="7"/>
  <c r="I43" i="7"/>
  <c r="B43" i="7"/>
  <c r="C120" i="10"/>
  <c r="B120" i="10"/>
  <c r="I120" i="10"/>
  <c r="H120" i="10"/>
  <c r="D120" i="10"/>
  <c r="N120" i="10"/>
  <c r="O120" i="10" s="1"/>
  <c r="L120" i="10"/>
  <c r="K120" i="10"/>
  <c r="J120" i="10"/>
  <c r="G120" i="10"/>
  <c r="F120" i="10"/>
  <c r="M120" i="10"/>
  <c r="E120" i="10"/>
  <c r="F45" i="16"/>
  <c r="E45" i="16"/>
  <c r="D45" i="16"/>
  <c r="H45" i="16"/>
  <c r="I45" i="16" s="1"/>
  <c r="G45" i="16"/>
  <c r="C45" i="16"/>
  <c r="C153" i="10"/>
  <c r="B153" i="10"/>
  <c r="F153" i="10"/>
  <c r="E153" i="10"/>
  <c r="I153" i="10"/>
  <c r="H153" i="10"/>
  <c r="G153" i="10"/>
  <c r="D153" i="10"/>
  <c r="M153" i="10"/>
  <c r="N153" i="10"/>
  <c r="O153" i="10" s="1"/>
  <c r="L153" i="10"/>
  <c r="K153" i="10"/>
  <c r="J153" i="10"/>
  <c r="H69" i="16"/>
  <c r="I69" i="16" s="1"/>
  <c r="E69" i="16"/>
  <c r="D69" i="16"/>
  <c r="G69" i="16"/>
  <c r="F69" i="16"/>
  <c r="C69" i="16"/>
  <c r="N145" i="10"/>
  <c r="O145" i="10" s="1"/>
  <c r="M145" i="10"/>
  <c r="J145" i="10"/>
  <c r="I145" i="10"/>
  <c r="G145" i="10"/>
  <c r="F145" i="10"/>
  <c r="B145" i="10"/>
  <c r="L145" i="10"/>
  <c r="K145" i="10"/>
  <c r="E145" i="10"/>
  <c r="H145" i="10"/>
  <c r="C145" i="10"/>
  <c r="D145" i="10"/>
  <c r="J14" i="9"/>
  <c r="I14" i="9"/>
  <c r="H14" i="9"/>
  <c r="E14" i="9"/>
  <c r="L14" i="9"/>
  <c r="G14" i="9"/>
  <c r="F14" i="9"/>
  <c r="K14" i="9"/>
  <c r="B14" i="9"/>
  <c r="D136" i="10"/>
  <c r="C136" i="10"/>
  <c r="N136" i="10"/>
  <c r="O136" i="10" s="1"/>
  <c r="M136" i="10"/>
  <c r="K136" i="10"/>
  <c r="B136" i="10"/>
  <c r="L136" i="10"/>
  <c r="H136" i="10"/>
  <c r="G136" i="10"/>
  <c r="J136" i="10"/>
  <c r="F136" i="10"/>
  <c r="E136" i="10"/>
  <c r="I136" i="10"/>
  <c r="K143" i="9"/>
  <c r="J143" i="9"/>
  <c r="I143" i="9"/>
  <c r="H143" i="9"/>
  <c r="E143" i="9"/>
  <c r="G143" i="9"/>
  <c r="F143" i="9"/>
  <c r="M143" i="9"/>
  <c r="N143" i="9" s="1"/>
  <c r="L143" i="9"/>
  <c r="B143" i="9"/>
  <c r="K26" i="10"/>
  <c r="J26" i="10"/>
  <c r="I26" i="10"/>
  <c r="H26" i="10"/>
  <c r="F26" i="10"/>
  <c r="N26" i="10"/>
  <c r="O26" i="10" s="1"/>
  <c r="M26" i="10"/>
  <c r="L26" i="10"/>
  <c r="G26" i="10"/>
  <c r="C26" i="10"/>
  <c r="D26" i="10"/>
  <c r="B26" i="10"/>
  <c r="E26" i="10"/>
  <c r="G27" i="18"/>
  <c r="F27" i="18"/>
  <c r="H27" i="18"/>
  <c r="I27" i="18" s="1"/>
  <c r="D27" i="18"/>
  <c r="C27" i="18"/>
  <c r="E27" i="18"/>
  <c r="I50" i="10"/>
  <c r="H50" i="10"/>
  <c r="D50" i="10"/>
  <c r="E50" i="10"/>
  <c r="C50" i="10"/>
  <c r="B50" i="10"/>
  <c r="L50" i="10"/>
  <c r="K50" i="10"/>
  <c r="J50" i="10"/>
  <c r="G50" i="10"/>
  <c r="M50" i="10"/>
  <c r="F50" i="10"/>
  <c r="N50" i="10"/>
  <c r="O50" i="10" s="1"/>
  <c r="N88" i="7"/>
  <c r="O88" i="7" s="1"/>
  <c r="M88" i="7"/>
  <c r="B88" i="7"/>
  <c r="E88" i="7"/>
  <c r="C88" i="7"/>
  <c r="J88" i="7"/>
  <c r="H88" i="7"/>
  <c r="I88" i="7"/>
  <c r="L88" i="7"/>
  <c r="K88" i="7"/>
  <c r="D88" i="7"/>
  <c r="G88" i="7"/>
  <c r="F88" i="7"/>
  <c r="K89" i="7"/>
  <c r="J89" i="7"/>
  <c r="I89" i="7"/>
  <c r="H89" i="7"/>
  <c r="F89" i="7"/>
  <c r="N89" i="7"/>
  <c r="M89" i="7"/>
  <c r="L89" i="7"/>
  <c r="G89" i="7"/>
  <c r="D89" i="7"/>
  <c r="B89" i="7"/>
  <c r="E89" i="7"/>
  <c r="C89" i="7"/>
  <c r="O89" i="7"/>
  <c r="B138" i="7"/>
  <c r="N138" i="7"/>
  <c r="O138" i="7" s="1"/>
  <c r="M138" i="7"/>
  <c r="K138" i="7"/>
  <c r="C138" i="7"/>
  <c r="G138" i="7"/>
  <c r="F138" i="7"/>
  <c r="J138" i="7"/>
  <c r="H138" i="7"/>
  <c r="E138" i="7"/>
  <c r="I138" i="7"/>
  <c r="D138" i="7"/>
  <c r="L138" i="7"/>
  <c r="G107" i="7"/>
  <c r="F107" i="7"/>
  <c r="E107" i="7"/>
  <c r="B107" i="7"/>
  <c r="K107" i="7"/>
  <c r="J107" i="7"/>
  <c r="I107" i="7"/>
  <c r="H107" i="7"/>
  <c r="C107" i="7"/>
  <c r="M107" i="7"/>
  <c r="L107" i="7"/>
  <c r="N107" i="7"/>
  <c r="O107" i="7" s="1"/>
  <c r="D107" i="7"/>
  <c r="H43" i="9"/>
  <c r="G43" i="9"/>
  <c r="F43" i="9"/>
  <c r="B43" i="9"/>
  <c r="M43" i="9"/>
  <c r="N43" i="9" s="1"/>
  <c r="L43" i="9"/>
  <c r="K43" i="9"/>
  <c r="I43" i="9"/>
  <c r="J43" i="9"/>
  <c r="E43" i="9"/>
  <c r="K50" i="8"/>
  <c r="J50" i="8"/>
  <c r="I50" i="8"/>
  <c r="G50" i="8"/>
  <c r="L50" i="8"/>
  <c r="H50" i="8"/>
  <c r="D50" i="8"/>
  <c r="C50" i="8"/>
  <c r="B50" i="8"/>
  <c r="J145" i="9"/>
  <c r="H145" i="9"/>
  <c r="E145" i="9"/>
  <c r="F145" i="9"/>
  <c r="B145" i="9"/>
  <c r="L145" i="9"/>
  <c r="I145" i="9"/>
  <c r="G145" i="9"/>
  <c r="M145" i="9"/>
  <c r="N145" i="9" s="1"/>
  <c r="K145" i="9"/>
  <c r="F32" i="16"/>
  <c r="H32" i="16"/>
  <c r="I32" i="16" s="1"/>
  <c r="C32" i="16"/>
  <c r="D32" i="16"/>
  <c r="G32" i="16"/>
  <c r="E32" i="16"/>
  <c r="L40" i="8"/>
  <c r="K40" i="8"/>
  <c r="D40" i="8"/>
  <c r="C40" i="8"/>
  <c r="B40" i="8"/>
  <c r="G40" i="8"/>
  <c r="J40" i="8"/>
  <c r="I40" i="8"/>
  <c r="H40" i="8"/>
  <c r="I77" i="8"/>
  <c r="H77" i="8"/>
  <c r="G77" i="8"/>
  <c r="L77" i="8"/>
  <c r="K77" i="8"/>
  <c r="M77" i="8"/>
  <c r="N77" i="8" s="1"/>
  <c r="J77" i="8"/>
  <c r="B77" i="8"/>
  <c r="C77" i="8"/>
  <c r="D77" i="8"/>
  <c r="H80" i="16"/>
  <c r="I80" i="16" s="1"/>
  <c r="E80" i="16"/>
  <c r="D80" i="16"/>
  <c r="F80" i="16"/>
  <c r="G80" i="16"/>
  <c r="C80" i="16"/>
  <c r="M37" i="7"/>
  <c r="J37" i="7"/>
  <c r="E37" i="7"/>
  <c r="C37" i="7"/>
  <c r="B37" i="7"/>
  <c r="F37" i="7"/>
  <c r="D37" i="7"/>
  <c r="L37" i="7"/>
  <c r="G37" i="7"/>
  <c r="K37" i="7"/>
  <c r="H37" i="7"/>
  <c r="D177" i="8"/>
  <c r="C177" i="8"/>
  <c r="B177" i="8"/>
  <c r="L177" i="8"/>
  <c r="K177" i="8"/>
  <c r="H177" i="8"/>
  <c r="J177" i="8"/>
  <c r="G177" i="8"/>
  <c r="I177" i="8"/>
  <c r="M177" i="8"/>
  <c r="N177" i="8" s="1"/>
  <c r="N134" i="10"/>
  <c r="O134" i="10" s="1"/>
  <c r="M134" i="10"/>
  <c r="J134" i="10"/>
  <c r="I134" i="10"/>
  <c r="H134" i="10"/>
  <c r="G134" i="10"/>
  <c r="C134" i="10"/>
  <c r="L134" i="10"/>
  <c r="B134" i="10"/>
  <c r="F134" i="10"/>
  <c r="E134" i="10"/>
  <c r="D134" i="10"/>
  <c r="K134" i="10"/>
  <c r="K59" i="7"/>
  <c r="J59" i="7"/>
  <c r="F59" i="7"/>
  <c r="E59" i="7"/>
  <c r="M59" i="7"/>
  <c r="L59" i="7"/>
  <c r="H59" i="7"/>
  <c r="G59" i="7"/>
  <c r="C59" i="7"/>
  <c r="B59" i="7"/>
  <c r="D59" i="7"/>
  <c r="K174" i="8"/>
  <c r="J174" i="8"/>
  <c r="I174" i="8"/>
  <c r="H174" i="8"/>
  <c r="G174" i="8"/>
  <c r="D174" i="8"/>
  <c r="C174" i="8"/>
  <c r="L174" i="8"/>
  <c r="M174" i="8"/>
  <c r="N174" i="8" s="1"/>
  <c r="B174" i="8"/>
  <c r="H39" i="8"/>
  <c r="G39" i="8"/>
  <c r="I39" i="8"/>
  <c r="L39" i="8"/>
  <c r="K39" i="8"/>
  <c r="J39" i="8"/>
  <c r="D39" i="8"/>
  <c r="C39" i="8"/>
  <c r="B39" i="8"/>
  <c r="E42" i="18"/>
  <c r="D42" i="18"/>
  <c r="C42" i="18"/>
  <c r="H42" i="18"/>
  <c r="I42" i="18" s="1"/>
  <c r="G42" i="18"/>
  <c r="F42" i="18"/>
  <c r="N112" i="10"/>
  <c r="O112" i="10" s="1"/>
  <c r="M112" i="10"/>
  <c r="I112" i="10"/>
  <c r="K112" i="10"/>
  <c r="G112" i="10"/>
  <c r="F112" i="10"/>
  <c r="E112" i="10"/>
  <c r="D112" i="10"/>
  <c r="B112" i="10"/>
  <c r="J112" i="10"/>
  <c r="H112" i="10"/>
  <c r="L112" i="10"/>
  <c r="C112" i="10"/>
  <c r="M38" i="7"/>
  <c r="J38" i="7"/>
  <c r="I38" i="7"/>
  <c r="C38" i="7"/>
  <c r="B38" i="7"/>
  <c r="L38" i="7"/>
  <c r="H38" i="7"/>
  <c r="K38" i="7"/>
  <c r="F38" i="7"/>
  <c r="D38" i="7"/>
  <c r="E38" i="7"/>
  <c r="G38" i="7"/>
  <c r="D23" i="8"/>
  <c r="B23" i="8"/>
  <c r="G23" i="8"/>
  <c r="C23" i="8"/>
  <c r="J23" i="8"/>
  <c r="I23" i="8"/>
  <c r="H23" i="8"/>
  <c r="K23" i="8"/>
  <c r="L23" i="8"/>
  <c r="I201" i="7"/>
  <c r="H201" i="7"/>
  <c r="G201" i="7"/>
  <c r="D201" i="7"/>
  <c r="C201" i="7"/>
  <c r="N201" i="7"/>
  <c r="O201" i="7" s="1"/>
  <c r="M201" i="7"/>
  <c r="L201" i="7"/>
  <c r="K201" i="7"/>
  <c r="F201" i="7"/>
  <c r="J201" i="7"/>
  <c r="E201" i="7"/>
  <c r="B201" i="7"/>
  <c r="L173" i="10"/>
  <c r="K173" i="10"/>
  <c r="J173" i="10"/>
  <c r="I173" i="10"/>
  <c r="E173" i="10"/>
  <c r="N173" i="10"/>
  <c r="O173" i="10" s="1"/>
  <c r="M173" i="10"/>
  <c r="H173" i="10"/>
  <c r="G173" i="10"/>
  <c r="D173" i="10"/>
  <c r="F173" i="10"/>
  <c r="C173" i="10"/>
  <c r="B173" i="10"/>
  <c r="F132" i="9"/>
  <c r="E132" i="9"/>
  <c r="B132" i="9"/>
  <c r="I132" i="9"/>
  <c r="H132" i="9"/>
  <c r="G132" i="9"/>
  <c r="L132" i="9"/>
  <c r="J132" i="9"/>
  <c r="M132" i="9"/>
  <c r="N132" i="9" s="1"/>
  <c r="K132" i="9"/>
  <c r="H51" i="16"/>
  <c r="I51" i="16" s="1"/>
  <c r="E51" i="16"/>
  <c r="G51" i="16"/>
  <c r="C51" i="16"/>
  <c r="F51" i="16"/>
  <c r="D51" i="16"/>
  <c r="L30" i="8"/>
  <c r="K30" i="8"/>
  <c r="I30" i="8"/>
  <c r="J30" i="8"/>
  <c r="H30" i="8"/>
  <c r="G30" i="8"/>
  <c r="D30" i="8"/>
  <c r="C30" i="8"/>
  <c r="B30" i="8"/>
  <c r="M148" i="8"/>
  <c r="N148" i="8" s="1"/>
  <c r="L148" i="8"/>
  <c r="K148" i="8"/>
  <c r="J148" i="8"/>
  <c r="H148" i="8"/>
  <c r="I148" i="8"/>
  <c r="G148" i="8"/>
  <c r="B148" i="8"/>
  <c r="C148" i="8"/>
  <c r="D148" i="8"/>
  <c r="M62" i="10"/>
  <c r="L62" i="10"/>
  <c r="H62" i="10"/>
  <c r="N62" i="10"/>
  <c r="O62" i="10" s="1"/>
  <c r="J62" i="10"/>
  <c r="I62" i="10"/>
  <c r="E62" i="10"/>
  <c r="D62" i="10"/>
  <c r="C62" i="10"/>
  <c r="B62" i="10"/>
  <c r="F62" i="10"/>
  <c r="K62" i="10"/>
  <c r="G62" i="10"/>
  <c r="N36" i="10"/>
  <c r="O36" i="10" s="1"/>
  <c r="E36" i="10"/>
  <c r="D36" i="10"/>
  <c r="C36" i="10"/>
  <c r="B36" i="10"/>
  <c r="H36" i="10"/>
  <c r="G36" i="10"/>
  <c r="F36" i="10"/>
  <c r="L36" i="10"/>
  <c r="K36" i="10"/>
  <c r="M36" i="10"/>
  <c r="J36" i="10"/>
  <c r="I36" i="10"/>
  <c r="H76" i="18"/>
  <c r="I76" i="18" s="1"/>
  <c r="G76" i="18"/>
  <c r="E76" i="18"/>
  <c r="D76" i="18"/>
  <c r="C76" i="18"/>
  <c r="F76" i="18"/>
  <c r="M29" i="10"/>
  <c r="L29" i="10"/>
  <c r="H29" i="10"/>
  <c r="E29" i="10"/>
  <c r="D29" i="10"/>
  <c r="C29" i="10"/>
  <c r="B29" i="10"/>
  <c r="G29" i="10"/>
  <c r="F29" i="10"/>
  <c r="N29" i="10"/>
  <c r="O29" i="10" s="1"/>
  <c r="K29" i="10"/>
  <c r="J29" i="10"/>
  <c r="I29" i="10"/>
  <c r="L25" i="9"/>
  <c r="I25" i="9"/>
  <c r="H25" i="9"/>
  <c r="J25" i="9"/>
  <c r="G25" i="9"/>
  <c r="F25" i="9"/>
  <c r="E25" i="9"/>
  <c r="K25" i="9"/>
  <c r="B25" i="9"/>
  <c r="K5" i="8"/>
  <c r="H5" i="8"/>
  <c r="J5" i="8"/>
  <c r="L5" i="8"/>
  <c r="I5" i="8"/>
  <c r="G5" i="8"/>
  <c r="D5" i="8"/>
  <c r="B5" i="8"/>
  <c r="C5" i="8"/>
  <c r="H84" i="9"/>
  <c r="F84" i="9"/>
  <c r="B84" i="9"/>
  <c r="M84" i="9"/>
  <c r="N84" i="9" s="1"/>
  <c r="L84" i="9"/>
  <c r="K84" i="9"/>
  <c r="J84" i="9"/>
  <c r="I84" i="9"/>
  <c r="E84" i="9"/>
  <c r="G84" i="9"/>
  <c r="H42" i="8"/>
  <c r="I42" i="8"/>
  <c r="K42" i="8"/>
  <c r="L42" i="8"/>
  <c r="J42" i="8"/>
  <c r="G42" i="8"/>
  <c r="D42" i="8"/>
  <c r="B42" i="8"/>
  <c r="C42" i="8"/>
  <c r="B188" i="7"/>
  <c r="I188" i="7"/>
  <c r="H188" i="7"/>
  <c r="G188" i="7"/>
  <c r="F188" i="7"/>
  <c r="D188" i="7"/>
  <c r="K188" i="7"/>
  <c r="L188" i="7"/>
  <c r="M188" i="7"/>
  <c r="N188" i="7"/>
  <c r="O188" i="7" s="1"/>
  <c r="J188" i="7"/>
  <c r="E188" i="7"/>
  <c r="C188" i="7"/>
  <c r="L36" i="8"/>
  <c r="K36" i="8"/>
  <c r="G36" i="8"/>
  <c r="D36" i="8"/>
  <c r="M36" i="8" s="1"/>
  <c r="C36" i="8"/>
  <c r="B36" i="8"/>
  <c r="J36" i="8"/>
  <c r="I36" i="8"/>
  <c r="L82" i="8"/>
  <c r="K82" i="8"/>
  <c r="J82" i="8"/>
  <c r="D82" i="8"/>
  <c r="C82" i="8"/>
  <c r="B82" i="8"/>
  <c r="I82" i="8"/>
  <c r="H82" i="8"/>
  <c r="G82" i="8"/>
  <c r="M82" i="8"/>
  <c r="N82" i="8" s="1"/>
  <c r="F30" i="16"/>
  <c r="E30" i="16"/>
  <c r="D30" i="16"/>
  <c r="G30" i="16"/>
  <c r="C30" i="16"/>
  <c r="H30" i="16"/>
  <c r="I30" i="16" s="1"/>
  <c r="L115" i="7"/>
  <c r="K115" i="7"/>
  <c r="H115" i="7"/>
  <c r="G115" i="7"/>
  <c r="F115" i="7"/>
  <c r="E115" i="7"/>
  <c r="C115" i="7"/>
  <c r="J115" i="7"/>
  <c r="D115" i="7"/>
  <c r="B115" i="7"/>
  <c r="M115" i="7"/>
  <c r="N115" i="7"/>
  <c r="O115" i="7" s="1"/>
  <c r="I115" i="7"/>
  <c r="C139" i="7"/>
  <c r="B139" i="7"/>
  <c r="J139" i="7"/>
  <c r="I139" i="7"/>
  <c r="H139" i="7"/>
  <c r="G139" i="7"/>
  <c r="E139" i="7"/>
  <c r="L139" i="7"/>
  <c r="F139" i="7"/>
  <c r="D139" i="7"/>
  <c r="M139" i="7"/>
  <c r="N139" i="7"/>
  <c r="O139" i="7" s="1"/>
  <c r="K139" i="7"/>
  <c r="N190" i="10"/>
  <c r="O190" i="10" s="1"/>
  <c r="M190" i="10"/>
  <c r="L190" i="10"/>
  <c r="K190" i="10"/>
  <c r="I190" i="10"/>
  <c r="G190" i="10"/>
  <c r="J190" i="10"/>
  <c r="H190" i="10"/>
  <c r="F190" i="10"/>
  <c r="E190" i="10"/>
  <c r="C190" i="10"/>
  <c r="D190" i="10"/>
  <c r="B190" i="10"/>
  <c r="K70" i="10"/>
  <c r="J70" i="10"/>
  <c r="I70" i="10"/>
  <c r="H70" i="10"/>
  <c r="E70" i="10"/>
  <c r="L70" i="10"/>
  <c r="G70" i="10"/>
  <c r="F70" i="10"/>
  <c r="B70" i="10"/>
  <c r="N70" i="10"/>
  <c r="O70" i="10" s="1"/>
  <c r="D70" i="10"/>
  <c r="C70" i="10"/>
  <c r="M70" i="10"/>
  <c r="N47" i="10"/>
  <c r="O47" i="10" s="1"/>
  <c r="H47" i="10"/>
  <c r="G47" i="10"/>
  <c r="F47" i="10"/>
  <c r="E47" i="10"/>
  <c r="C47" i="10"/>
  <c r="L47" i="10"/>
  <c r="K47" i="10"/>
  <c r="B47" i="10"/>
  <c r="I47" i="10"/>
  <c r="D47" i="10"/>
  <c r="M47" i="10"/>
  <c r="J47" i="10"/>
  <c r="C175" i="10"/>
  <c r="B175" i="10"/>
  <c r="D175" i="10"/>
  <c r="M175" i="10"/>
  <c r="N175" i="10"/>
  <c r="O175" i="10" s="1"/>
  <c r="L175" i="10"/>
  <c r="K175" i="10"/>
  <c r="I175" i="10"/>
  <c r="J175" i="10"/>
  <c r="H175" i="10"/>
  <c r="G175" i="10"/>
  <c r="E175" i="10"/>
  <c r="F175" i="10"/>
  <c r="G37" i="18"/>
  <c r="F37" i="18"/>
  <c r="D37" i="18"/>
  <c r="C37" i="18"/>
  <c r="H37" i="18"/>
  <c r="I37" i="18" s="1"/>
  <c r="E37" i="18"/>
  <c r="L52" i="10"/>
  <c r="N52" i="10"/>
  <c r="O52" i="10" s="1"/>
  <c r="F52" i="10"/>
  <c r="E52" i="10"/>
  <c r="D52" i="10"/>
  <c r="C52" i="10"/>
  <c r="M52" i="10"/>
  <c r="K52" i="10"/>
  <c r="J52" i="10"/>
  <c r="I52" i="10"/>
  <c r="H52" i="10"/>
  <c r="B52" i="10"/>
  <c r="G52" i="10"/>
  <c r="K170" i="9"/>
  <c r="I170" i="9"/>
  <c r="H170" i="9"/>
  <c r="M170" i="9"/>
  <c r="N170" i="9" s="1"/>
  <c r="G170" i="9"/>
  <c r="F170" i="9"/>
  <c r="L170" i="9"/>
  <c r="B170" i="9"/>
  <c r="J170" i="9"/>
  <c r="E170" i="9"/>
  <c r="L93" i="7"/>
  <c r="K93" i="7"/>
  <c r="J93" i="7"/>
  <c r="I93" i="7"/>
  <c r="H93" i="7"/>
  <c r="G93" i="7"/>
  <c r="E93" i="7"/>
  <c r="M93" i="7"/>
  <c r="D93" i="7"/>
  <c r="C93" i="7"/>
  <c r="B93" i="7"/>
  <c r="N93" i="7"/>
  <c r="O93" i="7" s="1"/>
  <c r="F93" i="7"/>
  <c r="D49" i="8"/>
  <c r="L49" i="8"/>
  <c r="H49" i="8"/>
  <c r="G49" i="8"/>
  <c r="C49" i="8"/>
  <c r="B49" i="8"/>
  <c r="I49" i="8"/>
  <c r="J49" i="8"/>
  <c r="K49" i="8"/>
  <c r="G160" i="8"/>
  <c r="D160" i="8"/>
  <c r="B160" i="8"/>
  <c r="M160" i="8"/>
  <c r="N160" i="8" s="1"/>
  <c r="L160" i="8"/>
  <c r="C160" i="8"/>
  <c r="H160" i="8"/>
  <c r="I160" i="8"/>
  <c r="K160" i="8"/>
  <c r="J160" i="8"/>
  <c r="B201" i="9"/>
  <c r="M201" i="9"/>
  <c r="N201" i="9" s="1"/>
  <c r="L201" i="9"/>
  <c r="K201" i="9"/>
  <c r="J201" i="9"/>
  <c r="G201" i="9"/>
  <c r="I201" i="9"/>
  <c r="H201" i="9"/>
  <c r="F201" i="9"/>
  <c r="E201" i="9"/>
  <c r="M153" i="8"/>
  <c r="N153" i="8" s="1"/>
  <c r="K153" i="8"/>
  <c r="D153" i="8"/>
  <c r="C153" i="8"/>
  <c r="B153" i="8"/>
  <c r="L153" i="8"/>
  <c r="J153" i="8"/>
  <c r="I153" i="8"/>
  <c r="H153" i="8"/>
  <c r="G153" i="8"/>
  <c r="E11" i="7"/>
  <c r="H11" i="7"/>
  <c r="G11" i="7"/>
  <c r="F11" i="7"/>
  <c r="C11" i="7"/>
  <c r="M11" i="7"/>
  <c r="L11" i="7"/>
  <c r="K11" i="7"/>
  <c r="J11" i="7"/>
  <c r="D11" i="7"/>
  <c r="B11" i="7"/>
  <c r="G28" i="8"/>
  <c r="D28" i="8"/>
  <c r="C28" i="8"/>
  <c r="B28" i="8"/>
  <c r="H28" i="8"/>
  <c r="K28" i="8"/>
  <c r="L28" i="8"/>
  <c r="J28" i="8"/>
  <c r="I28" i="8"/>
  <c r="G81" i="10"/>
  <c r="F81" i="10"/>
  <c r="B81" i="10"/>
  <c r="E81" i="10"/>
  <c r="D81" i="10"/>
  <c r="C81" i="10"/>
  <c r="N81" i="10"/>
  <c r="O81" i="10" s="1"/>
  <c r="K81" i="10"/>
  <c r="M81" i="10"/>
  <c r="L81" i="10"/>
  <c r="J81" i="10"/>
  <c r="H81" i="10"/>
  <c r="I81" i="10"/>
  <c r="G79" i="18"/>
  <c r="F79" i="18"/>
  <c r="H79" i="18"/>
  <c r="I79" i="18" s="1"/>
  <c r="E79" i="18"/>
  <c r="D79" i="18"/>
  <c r="C79" i="18"/>
  <c r="C39" i="16"/>
  <c r="H39" i="16"/>
  <c r="I39" i="16" s="1"/>
  <c r="G39" i="16"/>
  <c r="D39" i="16"/>
  <c r="F39" i="16"/>
  <c r="E39" i="16"/>
  <c r="C9" i="10"/>
  <c r="L9" i="10"/>
  <c r="F9" i="10"/>
  <c r="E9" i="10"/>
  <c r="D9" i="10"/>
  <c r="B9" i="10"/>
  <c r="G9" i="10"/>
  <c r="H9" i="10"/>
  <c r="M9" i="10"/>
  <c r="K9" i="10"/>
  <c r="J9" i="10"/>
  <c r="I9" i="10"/>
  <c r="K56" i="10"/>
  <c r="J56" i="10"/>
  <c r="F56" i="10"/>
  <c r="D56" i="10"/>
  <c r="C56" i="10"/>
  <c r="B56" i="10"/>
  <c r="N56" i="10"/>
  <c r="O56" i="10" s="1"/>
  <c r="M56" i="10"/>
  <c r="E56" i="10"/>
  <c r="L56" i="10"/>
  <c r="I56" i="10"/>
  <c r="H56" i="10"/>
  <c r="G56" i="10"/>
  <c r="N76" i="7"/>
  <c r="O76" i="7" s="1"/>
  <c r="M76" i="7"/>
  <c r="J76" i="7"/>
  <c r="I76" i="7"/>
  <c r="L76" i="7"/>
  <c r="K76" i="7"/>
  <c r="F76" i="7"/>
  <c r="E76" i="7"/>
  <c r="D76" i="7"/>
  <c r="C76" i="7"/>
  <c r="B76" i="7"/>
  <c r="G76" i="7"/>
  <c r="H76" i="7"/>
  <c r="G77" i="9"/>
  <c r="B77" i="9"/>
  <c r="M77" i="9"/>
  <c r="N77" i="9" s="1"/>
  <c r="L77" i="9"/>
  <c r="K77" i="9"/>
  <c r="H77" i="9"/>
  <c r="F77" i="9"/>
  <c r="J77" i="9"/>
  <c r="E77" i="9"/>
  <c r="I77" i="9"/>
  <c r="G132" i="10"/>
  <c r="F132" i="10"/>
  <c r="E132" i="10"/>
  <c r="B132" i="10"/>
  <c r="L132" i="10"/>
  <c r="M132" i="10"/>
  <c r="K132" i="10"/>
  <c r="J132" i="10"/>
  <c r="I132" i="10"/>
  <c r="C132" i="10"/>
  <c r="N132" i="10"/>
  <c r="O132" i="10" s="1"/>
  <c r="H132" i="10"/>
  <c r="D132" i="10"/>
  <c r="J121" i="8"/>
  <c r="I121" i="8"/>
  <c r="H121" i="8"/>
  <c r="G121" i="8"/>
  <c r="L121" i="8"/>
  <c r="M121" i="8"/>
  <c r="N121" i="8" s="1"/>
  <c r="K121" i="8"/>
  <c r="B121" i="8"/>
  <c r="C121" i="8"/>
  <c r="D121" i="8"/>
  <c r="I63" i="7"/>
  <c r="H63" i="7"/>
  <c r="G63" i="7"/>
  <c r="D63" i="7"/>
  <c r="C63" i="7"/>
  <c r="K63" i="7"/>
  <c r="J63" i="7"/>
  <c r="F63" i="7"/>
  <c r="E63" i="7"/>
  <c r="B63" i="7"/>
  <c r="M63" i="7"/>
  <c r="L63" i="7"/>
  <c r="C52" i="8"/>
  <c r="M52" i="8"/>
  <c r="N52" i="8" s="1"/>
  <c r="J52" i="8"/>
  <c r="I52" i="8"/>
  <c r="H52" i="8"/>
  <c r="L52" i="8"/>
  <c r="K52" i="8"/>
  <c r="G52" i="8"/>
  <c r="D52" i="8"/>
  <c r="B52" i="8"/>
  <c r="F90" i="10"/>
  <c r="E90" i="10"/>
  <c r="N90" i="10"/>
  <c r="O90" i="10" s="1"/>
  <c r="M90" i="10"/>
  <c r="L90" i="10"/>
  <c r="I90" i="10"/>
  <c r="H90" i="10"/>
  <c r="G90" i="10"/>
  <c r="K90" i="10"/>
  <c r="C90" i="10"/>
  <c r="B90" i="10"/>
  <c r="J90" i="10"/>
  <c r="D90" i="10"/>
  <c r="D74" i="18"/>
  <c r="C74" i="18"/>
  <c r="G74" i="18"/>
  <c r="F74" i="18"/>
  <c r="E74" i="18"/>
  <c r="H74" i="18"/>
  <c r="I74" i="18" s="1"/>
  <c r="G75" i="10"/>
  <c r="F75" i="10"/>
  <c r="E75" i="10"/>
  <c r="D75" i="10"/>
  <c r="B75" i="10"/>
  <c r="H75" i="10"/>
  <c r="C75" i="10"/>
  <c r="M75" i="10"/>
  <c r="L75" i="10"/>
  <c r="K75" i="10"/>
  <c r="J75" i="10"/>
  <c r="I75" i="10"/>
  <c r="N75" i="10"/>
  <c r="O75" i="10" s="1"/>
  <c r="I61" i="10"/>
  <c r="H61" i="10"/>
  <c r="D61" i="10"/>
  <c r="J61" i="10"/>
  <c r="G61" i="10"/>
  <c r="F61" i="10"/>
  <c r="E61" i="10"/>
  <c r="B61" i="10"/>
  <c r="N61" i="10"/>
  <c r="O61" i="10" s="1"/>
  <c r="M61" i="10"/>
  <c r="C61" i="10"/>
  <c r="L61" i="10"/>
  <c r="K61" i="10"/>
  <c r="G102" i="18"/>
  <c r="F102" i="18"/>
  <c r="D102" i="18"/>
  <c r="C102" i="18"/>
  <c r="H102" i="18"/>
  <c r="I102" i="18" s="1"/>
  <c r="E102" i="18"/>
  <c r="M139" i="10"/>
  <c r="L139" i="10"/>
  <c r="K139" i="10"/>
  <c r="H139" i="10"/>
  <c r="G139" i="10"/>
  <c r="D139" i="10"/>
  <c r="C139" i="10"/>
  <c r="N139" i="10"/>
  <c r="O139" i="10" s="1"/>
  <c r="J139" i="10"/>
  <c r="F139" i="10"/>
  <c r="B139" i="10"/>
  <c r="E139" i="10"/>
  <c r="I139" i="10"/>
  <c r="K163" i="7"/>
  <c r="J163" i="7"/>
  <c r="I163" i="7"/>
  <c r="F163" i="7"/>
  <c r="E163" i="7"/>
  <c r="G163" i="7"/>
  <c r="D163" i="7"/>
  <c r="C163" i="7"/>
  <c r="B163" i="7"/>
  <c r="N163" i="7"/>
  <c r="O163" i="7" s="1"/>
  <c r="H163" i="7"/>
  <c r="M163" i="7"/>
  <c r="L163" i="7"/>
  <c r="E65" i="9"/>
  <c r="M65" i="9"/>
  <c r="N65" i="9" s="1"/>
  <c r="J65" i="9"/>
  <c r="I65" i="9"/>
  <c r="L65" i="9"/>
  <c r="B65" i="9"/>
  <c r="K65" i="9"/>
  <c r="H65" i="9"/>
  <c r="F65" i="9"/>
  <c r="G65" i="9"/>
  <c r="E200" i="7"/>
  <c r="D200" i="7"/>
  <c r="C200" i="7"/>
  <c r="J200" i="7"/>
  <c r="I200" i="7"/>
  <c r="H200" i="7"/>
  <c r="G200" i="7"/>
  <c r="B200" i="7"/>
  <c r="L200" i="7"/>
  <c r="K200" i="7"/>
  <c r="F200" i="7"/>
  <c r="M200" i="7"/>
  <c r="N200" i="7"/>
  <c r="O200" i="7" s="1"/>
  <c r="D71" i="8"/>
  <c r="M71" i="8"/>
  <c r="N71" i="8" s="1"/>
  <c r="J71" i="8"/>
  <c r="L71" i="8"/>
  <c r="I71" i="8"/>
  <c r="H71" i="8"/>
  <c r="G71" i="8"/>
  <c r="K71" i="8"/>
  <c r="C71" i="8"/>
  <c r="B71" i="8"/>
  <c r="G83" i="18"/>
  <c r="F83" i="18"/>
  <c r="D83" i="18"/>
  <c r="C83" i="18"/>
  <c r="H83" i="18"/>
  <c r="I83" i="18" s="1"/>
  <c r="E83" i="18"/>
  <c r="G182" i="8"/>
  <c r="D182" i="8"/>
  <c r="B182" i="8"/>
  <c r="L182" i="8"/>
  <c r="K182" i="8"/>
  <c r="M182" i="8"/>
  <c r="N182" i="8" s="1"/>
  <c r="J182" i="8"/>
  <c r="I182" i="8"/>
  <c r="H182" i="8"/>
  <c r="C182" i="8"/>
  <c r="I71" i="9"/>
  <c r="L71" i="9"/>
  <c r="M71" i="9"/>
  <c r="N71" i="9" s="1"/>
  <c r="K71" i="9"/>
  <c r="G71" i="9"/>
  <c r="F71" i="9"/>
  <c r="H71" i="9"/>
  <c r="E71" i="9"/>
  <c r="B71" i="9"/>
  <c r="J71" i="9"/>
  <c r="N46" i="10"/>
  <c r="O46" i="10" s="1"/>
  <c r="J46" i="10"/>
  <c r="M46" i="10"/>
  <c r="L46" i="10"/>
  <c r="K46" i="10"/>
  <c r="H46" i="10"/>
  <c r="I46" i="10"/>
  <c r="G46" i="10"/>
  <c r="F46" i="10"/>
  <c r="E46" i="10"/>
  <c r="B46" i="10"/>
  <c r="D46" i="10"/>
  <c r="C46" i="10"/>
  <c r="B158" i="8"/>
  <c r="H158" i="8"/>
  <c r="G158" i="8"/>
  <c r="D158" i="8"/>
  <c r="C158" i="8"/>
  <c r="J158" i="8"/>
  <c r="I158" i="8"/>
  <c r="L158" i="8"/>
  <c r="M158" i="8"/>
  <c r="N158" i="8" s="1"/>
  <c r="K158" i="8"/>
  <c r="D47" i="8"/>
  <c r="C47" i="8"/>
  <c r="B47" i="8"/>
  <c r="H47" i="8"/>
  <c r="G47" i="8"/>
  <c r="K47" i="8"/>
  <c r="J47" i="8"/>
  <c r="I47" i="8"/>
  <c r="L47" i="8"/>
  <c r="J64" i="8"/>
  <c r="I64" i="8"/>
  <c r="H64" i="8"/>
  <c r="C64" i="8"/>
  <c r="B64" i="8"/>
  <c r="M64" i="8"/>
  <c r="N64" i="8" s="1"/>
  <c r="D64" i="8"/>
  <c r="L64" i="8"/>
  <c r="G64" i="8"/>
  <c r="K64" i="8"/>
  <c r="D61" i="8"/>
  <c r="C61" i="8"/>
  <c r="B61" i="8"/>
  <c r="L61" i="8"/>
  <c r="K61" i="8"/>
  <c r="J61" i="8"/>
  <c r="G61" i="8"/>
  <c r="I61" i="8"/>
  <c r="H61" i="8"/>
  <c r="M61" i="8"/>
  <c r="N61" i="8" s="1"/>
  <c r="D20" i="16"/>
  <c r="C20" i="16"/>
  <c r="G20" i="16"/>
  <c r="F20" i="16"/>
  <c r="E20" i="16"/>
  <c r="N121" i="7"/>
  <c r="O121" i="7" s="1"/>
  <c r="M121" i="7"/>
  <c r="F121" i="7"/>
  <c r="E121" i="7"/>
  <c r="D121" i="7"/>
  <c r="C121" i="7"/>
  <c r="I121" i="7"/>
  <c r="H121" i="7"/>
  <c r="J121" i="7"/>
  <c r="B121" i="7"/>
  <c r="L121" i="7"/>
  <c r="G121" i="7"/>
  <c r="K121" i="7"/>
  <c r="D145" i="8"/>
  <c r="C145" i="8"/>
  <c r="B145" i="8"/>
  <c r="I145" i="8"/>
  <c r="H145" i="8"/>
  <c r="G145" i="8"/>
  <c r="K145" i="8"/>
  <c r="J145" i="8"/>
  <c r="M145" i="8"/>
  <c r="N145" i="8" s="1"/>
  <c r="L145" i="8"/>
  <c r="H84" i="16"/>
  <c r="I84" i="16" s="1"/>
  <c r="G84" i="16"/>
  <c r="F84" i="16"/>
  <c r="C84" i="16"/>
  <c r="E84" i="16"/>
  <c r="D84" i="16"/>
  <c r="E104" i="10"/>
  <c r="D104" i="10"/>
  <c r="C104" i="10"/>
  <c r="B104" i="10"/>
  <c r="F104" i="10"/>
  <c r="N104" i="10"/>
  <c r="O104" i="10" s="1"/>
  <c r="M104" i="10"/>
  <c r="L104" i="10"/>
  <c r="K104" i="10"/>
  <c r="I104" i="10"/>
  <c r="J104" i="10"/>
  <c r="G104" i="10"/>
  <c r="H104" i="10"/>
  <c r="G31" i="18"/>
  <c r="F31" i="18"/>
  <c r="E31" i="18"/>
  <c r="D31" i="18"/>
  <c r="C31" i="18"/>
  <c r="H31" i="18"/>
  <c r="I31" i="18" s="1"/>
  <c r="M174" i="10"/>
  <c r="G174" i="10"/>
  <c r="F174" i="10"/>
  <c r="E174" i="10"/>
  <c r="D174" i="10"/>
  <c r="B174" i="10"/>
  <c r="L174" i="10"/>
  <c r="K174" i="10"/>
  <c r="J174" i="10"/>
  <c r="I174" i="10"/>
  <c r="N174" i="10"/>
  <c r="O174" i="10" s="1"/>
  <c r="H174" i="10"/>
  <c r="C174" i="10"/>
  <c r="B136" i="9"/>
  <c r="F136" i="9"/>
  <c r="M136" i="9"/>
  <c r="N136" i="9" s="1"/>
  <c r="J136" i="9"/>
  <c r="I136" i="9"/>
  <c r="L136" i="9"/>
  <c r="K136" i="9"/>
  <c r="H136" i="9"/>
  <c r="G136" i="9"/>
  <c r="E136" i="9"/>
  <c r="B203" i="8"/>
  <c r="M203" i="8"/>
  <c r="N203" i="8" s="1"/>
  <c r="L203" i="8"/>
  <c r="J203" i="8"/>
  <c r="C203" i="8"/>
  <c r="H203" i="8"/>
  <c r="G203" i="8"/>
  <c r="K203" i="8"/>
  <c r="I203" i="8"/>
  <c r="D203" i="8"/>
  <c r="M158" i="7"/>
  <c r="L158" i="7"/>
  <c r="K158" i="7"/>
  <c r="H158" i="7"/>
  <c r="G158" i="7"/>
  <c r="E158" i="7"/>
  <c r="D158" i="7"/>
  <c r="C158" i="7"/>
  <c r="B158" i="7"/>
  <c r="N158" i="7"/>
  <c r="O158" i="7" s="1"/>
  <c r="J158" i="7"/>
  <c r="I158" i="7"/>
  <c r="F158" i="7"/>
  <c r="E148" i="9"/>
  <c r="B148" i="9"/>
  <c r="I148" i="9"/>
  <c r="M148" i="9"/>
  <c r="N148" i="9" s="1"/>
  <c r="L148" i="9"/>
  <c r="H148" i="9"/>
  <c r="G148" i="9"/>
  <c r="K148" i="9"/>
  <c r="J148" i="9"/>
  <c r="F148" i="9"/>
  <c r="L163" i="9"/>
  <c r="J163" i="9"/>
  <c r="I163" i="9"/>
  <c r="G163" i="9"/>
  <c r="H163" i="9"/>
  <c r="F163" i="9"/>
  <c r="E163" i="9"/>
  <c r="B163" i="9"/>
  <c r="M163" i="9"/>
  <c r="N163" i="9" s="1"/>
  <c r="K163" i="9"/>
  <c r="H103" i="16"/>
  <c r="I103" i="16" s="1"/>
  <c r="F103" i="16"/>
  <c r="G103" i="16"/>
  <c r="E103" i="16"/>
  <c r="C103" i="16"/>
  <c r="D103" i="16"/>
  <c r="D88" i="16"/>
  <c r="C88" i="16"/>
  <c r="F88" i="16"/>
  <c r="E88" i="16"/>
  <c r="H88" i="16"/>
  <c r="I88" i="16" s="1"/>
  <c r="G88" i="16"/>
  <c r="F153" i="9"/>
  <c r="L153" i="9"/>
  <c r="M153" i="9"/>
  <c r="N153" i="9" s="1"/>
  <c r="J153" i="9"/>
  <c r="K153" i="9"/>
  <c r="H153" i="9"/>
  <c r="B153" i="9"/>
  <c r="E153" i="9"/>
  <c r="I153" i="9"/>
  <c r="G153" i="9"/>
  <c r="G97" i="18"/>
  <c r="F97" i="18"/>
  <c r="H97" i="18"/>
  <c r="I97" i="18" s="1"/>
  <c r="E97" i="18"/>
  <c r="C97" i="18"/>
  <c r="D97" i="18"/>
  <c r="K177" i="10"/>
  <c r="J177" i="10"/>
  <c r="I177" i="10"/>
  <c r="F177" i="10"/>
  <c r="E177" i="10"/>
  <c r="N177" i="10"/>
  <c r="O177" i="10" s="1"/>
  <c r="L177" i="10"/>
  <c r="M177" i="10"/>
  <c r="C177" i="10"/>
  <c r="B177" i="10"/>
  <c r="G177" i="10"/>
  <c r="D177" i="10"/>
  <c r="H177" i="10"/>
  <c r="B92" i="9"/>
  <c r="J92" i="9"/>
  <c r="E92" i="9"/>
  <c r="L92" i="9"/>
  <c r="K92" i="9"/>
  <c r="I92" i="9"/>
  <c r="F92" i="9"/>
  <c r="M92" i="9"/>
  <c r="N92" i="9" s="1"/>
  <c r="H92" i="9"/>
  <c r="G92" i="9"/>
  <c r="N189" i="10"/>
  <c r="O189" i="10" s="1"/>
  <c r="M189" i="10"/>
  <c r="J189" i="10"/>
  <c r="I189" i="10"/>
  <c r="C189" i="10"/>
  <c r="B189" i="10"/>
  <c r="E189" i="10"/>
  <c r="D189" i="10"/>
  <c r="L189" i="10"/>
  <c r="K189" i="10"/>
  <c r="G189" i="10"/>
  <c r="H189" i="10"/>
  <c r="F189" i="10"/>
  <c r="K15" i="7"/>
  <c r="L15" i="7"/>
  <c r="J15" i="7"/>
  <c r="I15" i="7"/>
  <c r="H15" i="7"/>
  <c r="F15" i="7"/>
  <c r="D15" i="7"/>
  <c r="C15" i="7"/>
  <c r="B15" i="7"/>
  <c r="E15" i="7"/>
  <c r="M15" i="7"/>
  <c r="G15" i="7"/>
  <c r="F22" i="16"/>
  <c r="G22" i="16"/>
  <c r="H22" i="16"/>
  <c r="I22" i="16" s="1"/>
  <c r="E22" i="16"/>
  <c r="C22" i="16"/>
  <c r="D22" i="16"/>
  <c r="N98" i="7"/>
  <c r="O98" i="7" s="1"/>
  <c r="M98" i="7"/>
  <c r="J98" i="7"/>
  <c r="I98" i="7"/>
  <c r="K98" i="7"/>
  <c r="L98" i="7"/>
  <c r="H98" i="7"/>
  <c r="G98" i="7"/>
  <c r="F98" i="7"/>
  <c r="E98" i="7"/>
  <c r="C98" i="7"/>
  <c r="D98" i="7"/>
  <c r="B98" i="7"/>
  <c r="G184" i="7"/>
  <c r="F184" i="7"/>
  <c r="E184" i="7"/>
  <c r="B184" i="7"/>
  <c r="N184" i="7"/>
  <c r="O184" i="7" s="1"/>
  <c r="M184" i="7"/>
  <c r="L184" i="7"/>
  <c r="J184" i="7"/>
  <c r="H184" i="7"/>
  <c r="D184" i="7"/>
  <c r="C184" i="7"/>
  <c r="K184" i="7"/>
  <c r="I184" i="7"/>
  <c r="C32" i="10"/>
  <c r="B32" i="10"/>
  <c r="M32" i="10"/>
  <c r="L32" i="10"/>
  <c r="K32" i="10"/>
  <c r="J32" i="10"/>
  <c r="H32" i="10"/>
  <c r="N32" i="10"/>
  <c r="O32" i="10" s="1"/>
  <c r="I32" i="10"/>
  <c r="G32" i="10"/>
  <c r="E32" i="10"/>
  <c r="D32" i="10"/>
  <c r="F32" i="10"/>
  <c r="L60" i="8"/>
  <c r="K60" i="8"/>
  <c r="J60" i="8"/>
  <c r="M60" i="8"/>
  <c r="N60" i="8" s="1"/>
  <c r="I60" i="8"/>
  <c r="H60" i="8"/>
  <c r="G60" i="8"/>
  <c r="C60" i="8"/>
  <c r="D60" i="8"/>
  <c r="B60" i="8"/>
  <c r="M59" i="10"/>
  <c r="H59" i="10"/>
  <c r="G59" i="10"/>
  <c r="F59" i="10"/>
  <c r="E59" i="10"/>
  <c r="C59" i="10"/>
  <c r="L59" i="10"/>
  <c r="N59" i="10"/>
  <c r="O59" i="10" s="1"/>
  <c r="J59" i="10"/>
  <c r="I59" i="10"/>
  <c r="K59" i="10"/>
  <c r="D59" i="10"/>
  <c r="B59" i="10"/>
  <c r="L76" i="9"/>
  <c r="E76" i="9"/>
  <c r="M76" i="9"/>
  <c r="N76" i="9" s="1"/>
  <c r="K76" i="9"/>
  <c r="J76" i="9"/>
  <c r="H76" i="9"/>
  <c r="B76" i="9"/>
  <c r="G76" i="9"/>
  <c r="F76" i="9"/>
  <c r="I76" i="9"/>
  <c r="M25" i="7"/>
  <c r="L25" i="7"/>
  <c r="K25" i="7"/>
  <c r="D25" i="7"/>
  <c r="J25" i="7"/>
  <c r="E25" i="7"/>
  <c r="I25" i="7"/>
  <c r="F25" i="7"/>
  <c r="H25" i="7"/>
  <c r="G25" i="7"/>
  <c r="C25" i="7"/>
  <c r="B25" i="7"/>
  <c r="C87" i="10"/>
  <c r="N87" i="10"/>
  <c r="O87" i="10" s="1"/>
  <c r="M87" i="10"/>
  <c r="I87" i="10"/>
  <c r="K87" i="10"/>
  <c r="H87" i="10"/>
  <c r="G87" i="10"/>
  <c r="J87" i="10"/>
  <c r="F87" i="10"/>
  <c r="E87" i="10"/>
  <c r="L87" i="10"/>
  <c r="D87" i="10"/>
  <c r="B87" i="10"/>
  <c r="K9" i="9"/>
  <c r="J9" i="9"/>
  <c r="I9" i="9"/>
  <c r="F9" i="9"/>
  <c r="E9" i="9"/>
  <c r="L9" i="9"/>
  <c r="G9" i="9"/>
  <c r="H9" i="9"/>
  <c r="B9" i="9"/>
  <c r="E192" i="10"/>
  <c r="D192" i="10"/>
  <c r="C192" i="10"/>
  <c r="H192" i="10"/>
  <c r="G192" i="10"/>
  <c r="B192" i="10"/>
  <c r="N192" i="10"/>
  <c r="O192" i="10" s="1"/>
  <c r="L192" i="10"/>
  <c r="M192" i="10"/>
  <c r="K192" i="10"/>
  <c r="F192" i="10"/>
  <c r="J192" i="10"/>
  <c r="I192" i="10"/>
  <c r="I72" i="10"/>
  <c r="H72" i="10"/>
  <c r="D72" i="10"/>
  <c r="L72" i="10"/>
  <c r="K72" i="10"/>
  <c r="J72" i="10"/>
  <c r="G72" i="10"/>
  <c r="E72" i="10"/>
  <c r="F72" i="10"/>
  <c r="M72" i="10"/>
  <c r="C72" i="10"/>
  <c r="B72" i="10"/>
  <c r="N72" i="10"/>
  <c r="O72" i="10" s="1"/>
  <c r="G46" i="18"/>
  <c r="E46" i="18"/>
  <c r="D46" i="18"/>
  <c r="C46" i="18"/>
  <c r="H46" i="18"/>
  <c r="I46" i="18" s="1"/>
  <c r="F46" i="18"/>
  <c r="D64" i="10"/>
  <c r="C64" i="10"/>
  <c r="B64" i="10"/>
  <c r="J64" i="10"/>
  <c r="I64" i="10"/>
  <c r="H64" i="10"/>
  <c r="G64" i="10"/>
  <c r="E64" i="10"/>
  <c r="L64" i="10"/>
  <c r="K64" i="10"/>
  <c r="F64" i="10"/>
  <c r="M64" i="10"/>
  <c r="N64" i="10"/>
  <c r="O64" i="10" s="1"/>
  <c r="L38" i="8"/>
  <c r="J38" i="8"/>
  <c r="I38" i="8"/>
  <c r="K38" i="8"/>
  <c r="B38" i="8"/>
  <c r="G38" i="8"/>
  <c r="D38" i="8"/>
  <c r="M38" i="8" s="1"/>
  <c r="C38" i="8"/>
  <c r="N58" i="10"/>
  <c r="O58" i="10" s="1"/>
  <c r="K58" i="10"/>
  <c r="J58" i="10"/>
  <c r="I58" i="10"/>
  <c r="H58" i="10"/>
  <c r="F58" i="10"/>
  <c r="M58" i="10"/>
  <c r="E58" i="10"/>
  <c r="D58" i="10"/>
  <c r="L58" i="10"/>
  <c r="G58" i="10"/>
  <c r="B58" i="10"/>
  <c r="C58" i="10"/>
  <c r="I28" i="10"/>
  <c r="H28" i="10"/>
  <c r="L28" i="10"/>
  <c r="K28" i="10"/>
  <c r="J28" i="10"/>
  <c r="G28" i="10"/>
  <c r="D28" i="10"/>
  <c r="N28" i="10"/>
  <c r="O28" i="10" s="1"/>
  <c r="M28" i="10"/>
  <c r="F28" i="10"/>
  <c r="E28" i="10"/>
  <c r="B28" i="10"/>
  <c r="C28" i="10"/>
  <c r="G47" i="16"/>
  <c r="F47" i="16"/>
  <c r="E47" i="16"/>
  <c r="H47" i="16"/>
  <c r="I47" i="16" s="1"/>
  <c r="D47" i="16"/>
  <c r="C47" i="16"/>
  <c r="G17" i="18"/>
  <c r="F17" i="18"/>
  <c r="E17" i="18"/>
  <c r="D17" i="18"/>
  <c r="C17" i="18"/>
  <c r="H17" i="18"/>
  <c r="I17" i="18" s="1"/>
  <c r="H75" i="16"/>
  <c r="I75" i="16" s="1"/>
  <c r="C75" i="16"/>
  <c r="F75" i="16"/>
  <c r="G75" i="16"/>
  <c r="E75" i="16"/>
  <c r="D75" i="16"/>
  <c r="K28" i="7"/>
  <c r="J28" i="7"/>
  <c r="I28" i="7"/>
  <c r="H28" i="7"/>
  <c r="G28" i="7"/>
  <c r="E28" i="7"/>
  <c r="D28" i="7"/>
  <c r="C28" i="7"/>
  <c r="B28" i="7"/>
  <c r="M28" i="7"/>
  <c r="F28" i="7"/>
  <c r="L28" i="7"/>
  <c r="B161" i="9"/>
  <c r="M161" i="9"/>
  <c r="N161" i="9" s="1"/>
  <c r="F161" i="9"/>
  <c r="K161" i="9"/>
  <c r="J161" i="9"/>
  <c r="I161" i="9"/>
  <c r="H161" i="9"/>
  <c r="E161" i="9"/>
  <c r="L161" i="9"/>
  <c r="G161" i="9"/>
  <c r="N164" i="7"/>
  <c r="O164" i="7" s="1"/>
  <c r="M164" i="7"/>
  <c r="J164" i="7"/>
  <c r="I164" i="7"/>
  <c r="H164" i="7"/>
  <c r="G164" i="7"/>
  <c r="F164" i="7"/>
  <c r="E164" i="7"/>
  <c r="C164" i="7"/>
  <c r="L164" i="7"/>
  <c r="D164" i="7"/>
  <c r="K164" i="7"/>
  <c r="B164" i="7"/>
  <c r="H64" i="16"/>
  <c r="I64" i="16" s="1"/>
  <c r="G64" i="16"/>
  <c r="F64" i="16"/>
  <c r="E64" i="16"/>
  <c r="D64" i="16"/>
  <c r="C64" i="16"/>
  <c r="G71" i="18"/>
  <c r="F71" i="18"/>
  <c r="D71" i="18"/>
  <c r="C71" i="18"/>
  <c r="H71" i="18"/>
  <c r="I71" i="18" s="1"/>
  <c r="E71" i="18"/>
  <c r="L92" i="10"/>
  <c r="M92" i="10"/>
  <c r="J92" i="10"/>
  <c r="N92" i="10"/>
  <c r="O92" i="10" s="1"/>
  <c r="K92" i="10"/>
  <c r="H92" i="10"/>
  <c r="G92" i="10"/>
  <c r="F92" i="10"/>
  <c r="I92" i="10"/>
  <c r="D92" i="10"/>
  <c r="C92" i="10"/>
  <c r="B92" i="10"/>
  <c r="E92" i="10"/>
  <c r="G61" i="18"/>
  <c r="F61" i="18"/>
  <c r="E61" i="18"/>
  <c r="H61" i="18"/>
  <c r="I61" i="18" s="1"/>
  <c r="C61" i="18"/>
  <c r="D61" i="18"/>
  <c r="L129" i="10"/>
  <c r="K129" i="10"/>
  <c r="I129" i="10"/>
  <c r="M129" i="10"/>
  <c r="H129" i="10"/>
  <c r="G129" i="10"/>
  <c r="F129" i="10"/>
  <c r="E129" i="10"/>
  <c r="C129" i="10"/>
  <c r="J129" i="10"/>
  <c r="B129" i="10"/>
  <c r="D129" i="10"/>
  <c r="N129" i="10"/>
  <c r="O129" i="10" s="1"/>
  <c r="H68" i="8"/>
  <c r="G68" i="8"/>
  <c r="C68" i="8"/>
  <c r="M68" i="8"/>
  <c r="N68" i="8" s="1"/>
  <c r="L68" i="8"/>
  <c r="K68" i="8"/>
  <c r="I68" i="8"/>
  <c r="D68" i="8"/>
  <c r="J68" i="8"/>
  <c r="B68" i="8"/>
  <c r="D129" i="8"/>
  <c r="C129" i="8"/>
  <c r="K129" i="8"/>
  <c r="J129" i="8"/>
  <c r="B129" i="8"/>
  <c r="I129" i="8"/>
  <c r="G129" i="8"/>
  <c r="H129" i="8"/>
  <c r="M129" i="8"/>
  <c r="N129" i="8" s="1"/>
  <c r="L129" i="8"/>
  <c r="M56" i="8"/>
  <c r="N56" i="8" s="1"/>
  <c r="L56" i="8"/>
  <c r="I56" i="8"/>
  <c r="J56" i="8"/>
  <c r="H56" i="8"/>
  <c r="G56" i="8"/>
  <c r="D56" i="8"/>
  <c r="B56" i="8"/>
  <c r="C56" i="8"/>
  <c r="K56" i="8"/>
  <c r="M113" i="10"/>
  <c r="N113" i="10"/>
  <c r="O113" i="10" s="1"/>
  <c r="L113" i="10"/>
  <c r="K113" i="10"/>
  <c r="J113" i="10"/>
  <c r="I113" i="10"/>
  <c r="H113" i="10"/>
  <c r="E113" i="10"/>
  <c r="C113" i="10"/>
  <c r="B113" i="10"/>
  <c r="D113" i="10"/>
  <c r="G113" i="10"/>
  <c r="F113" i="10"/>
  <c r="C190" i="8"/>
  <c r="B190" i="8"/>
  <c r="M190" i="8"/>
  <c r="N190" i="8" s="1"/>
  <c r="L190" i="8"/>
  <c r="H190" i="8"/>
  <c r="G190" i="8"/>
  <c r="K190" i="8"/>
  <c r="I190" i="8"/>
  <c r="D190" i="8"/>
  <c r="J190" i="8"/>
  <c r="M51" i="7"/>
  <c r="L51" i="7"/>
  <c r="K51" i="7"/>
  <c r="H51" i="7"/>
  <c r="G51" i="7"/>
  <c r="D51" i="7"/>
  <c r="B51" i="7"/>
  <c r="E51" i="7"/>
  <c r="C51" i="7"/>
  <c r="F51" i="7"/>
  <c r="J51" i="7"/>
  <c r="C106" i="7"/>
  <c r="B106" i="7"/>
  <c r="M106" i="7"/>
  <c r="L106" i="7"/>
  <c r="K106" i="7"/>
  <c r="J106" i="7"/>
  <c r="H106" i="7"/>
  <c r="F106" i="7"/>
  <c r="E106" i="7"/>
  <c r="D106" i="7"/>
  <c r="I106" i="7"/>
  <c r="G106" i="7"/>
  <c r="N106" i="7"/>
  <c r="O106" i="7" s="1"/>
  <c r="H62" i="16"/>
  <c r="I62" i="16" s="1"/>
  <c r="G62" i="16"/>
  <c r="F62" i="16"/>
  <c r="E62" i="16"/>
  <c r="D62" i="16"/>
  <c r="C62" i="16"/>
  <c r="H49" i="16"/>
  <c r="I49" i="16" s="1"/>
  <c r="G49" i="16"/>
  <c r="F49" i="16"/>
  <c r="E49" i="16"/>
  <c r="D49" i="16"/>
  <c r="C49" i="16"/>
  <c r="M73" i="10"/>
  <c r="L73" i="10"/>
  <c r="H73" i="10"/>
  <c r="N73" i="10"/>
  <c r="F73" i="10"/>
  <c r="E73" i="10"/>
  <c r="D73" i="10"/>
  <c r="C73" i="10"/>
  <c r="O73" i="10"/>
  <c r="I73" i="10"/>
  <c r="G73" i="10"/>
  <c r="K73" i="10"/>
  <c r="J73" i="10"/>
  <c r="B73" i="10"/>
  <c r="H147" i="8"/>
  <c r="G147" i="8"/>
  <c r="C147" i="8"/>
  <c r="B147" i="8"/>
  <c r="J147" i="8"/>
  <c r="M147" i="8"/>
  <c r="N147" i="8" s="1"/>
  <c r="K147" i="8"/>
  <c r="I147" i="8"/>
  <c r="L147" i="8"/>
  <c r="D147" i="8"/>
  <c r="I171" i="10"/>
  <c r="H171" i="10"/>
  <c r="G171" i="10"/>
  <c r="D171" i="10"/>
  <c r="C171" i="10"/>
  <c r="N171" i="10"/>
  <c r="O171" i="10" s="1"/>
  <c r="J171" i="10"/>
  <c r="F171" i="10"/>
  <c r="E171" i="10"/>
  <c r="B171" i="10"/>
  <c r="M171" i="10"/>
  <c r="L171" i="10"/>
  <c r="K171" i="10"/>
  <c r="M34" i="9"/>
  <c r="N34" i="9" s="1"/>
  <c r="B34" i="9"/>
  <c r="L34" i="9"/>
  <c r="K34" i="9"/>
  <c r="J34" i="9"/>
  <c r="I34" i="9"/>
  <c r="H34" i="9"/>
  <c r="E34" i="9"/>
  <c r="G34" i="9"/>
  <c r="F34" i="9"/>
  <c r="F144" i="7"/>
  <c r="E144" i="7"/>
  <c r="D144" i="7"/>
  <c r="C144" i="7"/>
  <c r="N144" i="7"/>
  <c r="O144" i="7" s="1"/>
  <c r="M144" i="7"/>
  <c r="K144" i="7"/>
  <c r="J144" i="7"/>
  <c r="I144" i="7"/>
  <c r="H144" i="7"/>
  <c r="L144" i="7"/>
  <c r="G144" i="7"/>
  <c r="B144" i="7"/>
  <c r="L162" i="8"/>
  <c r="H162" i="8"/>
  <c r="G162" i="8"/>
  <c r="D162" i="8"/>
  <c r="C162" i="8"/>
  <c r="B162" i="8"/>
  <c r="M162" i="8"/>
  <c r="N162" i="8" s="1"/>
  <c r="K162" i="8"/>
  <c r="J162" i="8"/>
  <c r="I162" i="8"/>
  <c r="K176" i="9"/>
  <c r="I176" i="9"/>
  <c r="H176" i="9"/>
  <c r="F176" i="9"/>
  <c r="M176" i="9"/>
  <c r="N176" i="9" s="1"/>
  <c r="L176" i="9"/>
  <c r="J176" i="9"/>
  <c r="G176" i="9"/>
  <c r="B176" i="9"/>
  <c r="E176" i="9"/>
  <c r="I31" i="8"/>
  <c r="H31" i="8"/>
  <c r="G31" i="8"/>
  <c r="D31" i="8"/>
  <c r="B31" i="8"/>
  <c r="C31" i="8"/>
  <c r="L31" i="8"/>
  <c r="K31" i="8"/>
  <c r="J31" i="8"/>
  <c r="M26" i="9"/>
  <c r="L26" i="9"/>
  <c r="K26" i="9"/>
  <c r="J26" i="9"/>
  <c r="H26" i="9"/>
  <c r="I26" i="9"/>
  <c r="F26" i="9"/>
  <c r="E26" i="9"/>
  <c r="N26" i="9"/>
  <c r="G26" i="9"/>
  <c r="B26" i="9"/>
  <c r="M198" i="8"/>
  <c r="N198" i="8" s="1"/>
  <c r="L198" i="8"/>
  <c r="J198" i="8"/>
  <c r="I198" i="8"/>
  <c r="B198" i="8"/>
  <c r="G198" i="8"/>
  <c r="D198" i="8"/>
  <c r="H198" i="8"/>
  <c r="C198" i="8"/>
  <c r="K198" i="8"/>
  <c r="G9" i="16"/>
  <c r="F9" i="16"/>
  <c r="D9" i="16"/>
  <c r="E9" i="16"/>
  <c r="C9" i="16"/>
  <c r="F24" i="16"/>
  <c r="H24" i="16"/>
  <c r="I24" i="16" s="1"/>
  <c r="E24" i="16"/>
  <c r="D24" i="16"/>
  <c r="C24" i="16"/>
  <c r="G24" i="16"/>
  <c r="B114" i="9"/>
  <c r="I114" i="9"/>
  <c r="H114" i="9"/>
  <c r="G114" i="9"/>
  <c r="K114" i="9"/>
  <c r="F114" i="9"/>
  <c r="E114" i="9"/>
  <c r="J114" i="9"/>
  <c r="M114" i="9"/>
  <c r="N114" i="9" s="1"/>
  <c r="L114" i="9"/>
  <c r="L16" i="9"/>
  <c r="J16" i="9"/>
  <c r="I16" i="9"/>
  <c r="K16" i="9"/>
  <c r="H16" i="9"/>
  <c r="G16" i="9"/>
  <c r="B16" i="9"/>
  <c r="E16" i="9"/>
  <c r="F16" i="9"/>
  <c r="M31" i="10"/>
  <c r="C31" i="10"/>
  <c r="B31" i="10"/>
  <c r="E31" i="10"/>
  <c r="D31" i="10"/>
  <c r="F31" i="10"/>
  <c r="I31" i="10"/>
  <c r="H31" i="10"/>
  <c r="G31" i="10"/>
  <c r="N31" i="10"/>
  <c r="O31" i="10" s="1"/>
  <c r="L31" i="10"/>
  <c r="K31" i="10"/>
  <c r="J31" i="10"/>
  <c r="G6" i="16"/>
  <c r="F6" i="16"/>
  <c r="E6" i="16"/>
  <c r="D6" i="16"/>
  <c r="C6" i="16"/>
  <c r="N193" i="7"/>
  <c r="O193" i="7" s="1"/>
  <c r="E193" i="7"/>
  <c r="C193" i="7"/>
  <c r="B193" i="7"/>
  <c r="K193" i="7"/>
  <c r="F193" i="7"/>
  <c r="J193" i="7"/>
  <c r="D193" i="7"/>
  <c r="I193" i="7"/>
  <c r="H193" i="7"/>
  <c r="G193" i="7"/>
  <c r="M193" i="7"/>
  <c r="L193" i="7"/>
  <c r="G74" i="7"/>
  <c r="F74" i="7"/>
  <c r="E74" i="7"/>
  <c r="B74" i="7"/>
  <c r="M74" i="7"/>
  <c r="L74" i="7"/>
  <c r="J74" i="7"/>
  <c r="I74" i="7"/>
  <c r="H74" i="7"/>
  <c r="D74" i="7"/>
  <c r="C74" i="7"/>
  <c r="N74" i="7"/>
  <c r="O74" i="7" s="1"/>
  <c r="K74" i="7"/>
  <c r="B46" i="9"/>
  <c r="M46" i="9"/>
  <c r="N46" i="9" s="1"/>
  <c r="G46" i="9"/>
  <c r="F46" i="9"/>
  <c r="E46" i="9"/>
  <c r="L46" i="9"/>
  <c r="K46" i="9"/>
  <c r="H46" i="9"/>
  <c r="J46" i="9"/>
  <c r="I46" i="9"/>
  <c r="M147" i="7"/>
  <c r="L147" i="7"/>
  <c r="K147" i="7"/>
  <c r="H147" i="7"/>
  <c r="G147" i="7"/>
  <c r="F147" i="7"/>
  <c r="E147" i="7"/>
  <c r="D147" i="7"/>
  <c r="C147" i="7"/>
  <c r="N147" i="7"/>
  <c r="O147" i="7" s="1"/>
  <c r="J147" i="7"/>
  <c r="I147" i="7"/>
  <c r="B147" i="7"/>
  <c r="K100" i="10"/>
  <c r="J100" i="10"/>
  <c r="E100" i="10"/>
  <c r="N100" i="10"/>
  <c r="O100" i="10" s="1"/>
  <c r="M100" i="10"/>
  <c r="I100" i="10"/>
  <c r="L100" i="10"/>
  <c r="F100" i="10"/>
  <c r="C100" i="10"/>
  <c r="B100" i="10"/>
  <c r="D100" i="10"/>
  <c r="H100" i="10"/>
  <c r="G100" i="10"/>
  <c r="F110" i="9"/>
  <c r="E110" i="9"/>
  <c r="G110" i="9"/>
  <c r="B110" i="9"/>
  <c r="K110" i="9"/>
  <c r="I110" i="9"/>
  <c r="H110" i="9"/>
  <c r="M110" i="9"/>
  <c r="N110" i="9" s="1"/>
  <c r="L110" i="9"/>
  <c r="J110" i="9"/>
  <c r="M12" i="10"/>
  <c r="K12" i="10"/>
  <c r="J12" i="10"/>
  <c r="H12" i="10"/>
  <c r="F12" i="10"/>
  <c r="D12" i="10"/>
  <c r="C12" i="10"/>
  <c r="B12" i="10"/>
  <c r="G12" i="10"/>
  <c r="E12" i="10"/>
  <c r="L12" i="10"/>
  <c r="E25" i="10"/>
  <c r="D25" i="10"/>
  <c r="C25" i="10"/>
  <c r="B25" i="10"/>
  <c r="N25" i="10"/>
  <c r="O25" i="10" s="1"/>
  <c r="M25" i="10"/>
  <c r="K25" i="10"/>
  <c r="G25" i="10"/>
  <c r="F25" i="10"/>
  <c r="L25" i="10"/>
  <c r="J25" i="10"/>
  <c r="I25" i="10"/>
  <c r="H25" i="10"/>
  <c r="G93" i="18"/>
  <c r="F93" i="18"/>
  <c r="H93" i="18"/>
  <c r="I93" i="18" s="1"/>
  <c r="E93" i="18"/>
  <c r="D93" i="18"/>
  <c r="C93" i="18"/>
  <c r="E38" i="10"/>
  <c r="D38" i="10"/>
  <c r="N38" i="10"/>
  <c r="O38" i="10" s="1"/>
  <c r="C38" i="10"/>
  <c r="B38" i="10"/>
  <c r="M38" i="10"/>
  <c r="L38" i="10"/>
  <c r="K38" i="10"/>
  <c r="J38" i="10"/>
  <c r="I38" i="10"/>
  <c r="G38" i="10"/>
  <c r="H38" i="10"/>
  <c r="F38" i="10"/>
  <c r="E79" i="7"/>
  <c r="D79" i="7"/>
  <c r="C79" i="7"/>
  <c r="M79" i="7"/>
  <c r="L79" i="7"/>
  <c r="K79" i="7"/>
  <c r="J79" i="7"/>
  <c r="H79" i="7"/>
  <c r="N79" i="7"/>
  <c r="O79" i="7" s="1"/>
  <c r="I79" i="7"/>
  <c r="G79" i="7"/>
  <c r="F79" i="7"/>
  <c r="B79" i="7"/>
  <c r="G88" i="10"/>
  <c r="N88" i="10"/>
  <c r="O88" i="10" s="1"/>
  <c r="J88" i="10"/>
  <c r="I88" i="10"/>
  <c r="H88" i="10"/>
  <c r="F88" i="10"/>
  <c r="D88" i="10"/>
  <c r="M88" i="10"/>
  <c r="L88" i="10"/>
  <c r="K88" i="10"/>
  <c r="B88" i="10"/>
  <c r="C88" i="10"/>
  <c r="E88" i="10"/>
  <c r="N168" i="10"/>
  <c r="O168" i="10" s="1"/>
  <c r="M168" i="10"/>
  <c r="I168" i="10"/>
  <c r="L168" i="10"/>
  <c r="J168" i="10"/>
  <c r="H168" i="10"/>
  <c r="K168" i="10"/>
  <c r="G168" i="10"/>
  <c r="F168" i="10"/>
  <c r="E168" i="10"/>
  <c r="B168" i="10"/>
  <c r="C168" i="10"/>
  <c r="D168" i="10"/>
  <c r="M122" i="8"/>
  <c r="N122" i="8" s="1"/>
  <c r="L122" i="8"/>
  <c r="J122" i="8"/>
  <c r="K122" i="8"/>
  <c r="I122" i="8"/>
  <c r="H122" i="8"/>
  <c r="G122" i="8"/>
  <c r="C122" i="8"/>
  <c r="B122" i="8"/>
  <c r="D122" i="8"/>
  <c r="H98" i="16"/>
  <c r="I98" i="16" s="1"/>
  <c r="F98" i="16"/>
  <c r="E98" i="16"/>
  <c r="D98" i="16"/>
  <c r="G98" i="16"/>
  <c r="C98" i="16"/>
  <c r="E82" i="16"/>
  <c r="D82" i="16"/>
  <c r="C82" i="16"/>
  <c r="F82" i="16"/>
  <c r="H82" i="16"/>
  <c r="I82" i="16" s="1"/>
  <c r="G82" i="16"/>
  <c r="G184" i="9"/>
  <c r="E184" i="9"/>
  <c r="B184" i="9"/>
  <c r="M184" i="9"/>
  <c r="N184" i="9" s="1"/>
  <c r="L184" i="9"/>
  <c r="K184" i="9"/>
  <c r="H184" i="9"/>
  <c r="J184" i="9"/>
  <c r="F184" i="9"/>
  <c r="I184" i="9"/>
  <c r="I113" i="7"/>
  <c r="H113" i="7"/>
  <c r="G113" i="7"/>
  <c r="D113" i="7"/>
  <c r="C113" i="7"/>
  <c r="L113" i="7"/>
  <c r="K113" i="7"/>
  <c r="J113" i="7"/>
  <c r="F113" i="7"/>
  <c r="B113" i="7"/>
  <c r="N113" i="7"/>
  <c r="O113" i="7" s="1"/>
  <c r="M113" i="7"/>
  <c r="E113" i="7"/>
  <c r="G55" i="18"/>
  <c r="F55" i="18"/>
  <c r="D55" i="18"/>
  <c r="C55" i="18"/>
  <c r="H55" i="18"/>
  <c r="I55" i="18" s="1"/>
  <c r="E55" i="18"/>
  <c r="M172" i="10"/>
  <c r="L172" i="10"/>
  <c r="K172" i="10"/>
  <c r="H172" i="10"/>
  <c r="G172" i="10"/>
  <c r="N172" i="10"/>
  <c r="O172" i="10" s="1"/>
  <c r="J172" i="10"/>
  <c r="I172" i="10"/>
  <c r="F172" i="10"/>
  <c r="D172" i="10"/>
  <c r="C172" i="10"/>
  <c r="B172" i="10"/>
  <c r="E172" i="10"/>
  <c r="D60" i="18"/>
  <c r="C60" i="18"/>
  <c r="G60" i="18"/>
  <c r="F60" i="18"/>
  <c r="E60" i="18"/>
  <c r="H60" i="18"/>
  <c r="I60" i="18" s="1"/>
  <c r="M78" i="8"/>
  <c r="N78" i="8" s="1"/>
  <c r="L78" i="8"/>
  <c r="G78" i="8"/>
  <c r="K78" i="8"/>
  <c r="J78" i="8"/>
  <c r="D78" i="8"/>
  <c r="C78" i="8"/>
  <c r="I78" i="8"/>
  <c r="H78" i="8"/>
  <c r="B78" i="8"/>
  <c r="J88" i="8"/>
  <c r="D88" i="8"/>
  <c r="C88" i="8"/>
  <c r="B88" i="8"/>
  <c r="M88" i="8"/>
  <c r="N88" i="8" s="1"/>
  <c r="K88" i="8"/>
  <c r="L88" i="8"/>
  <c r="I88" i="8"/>
  <c r="G88" i="8"/>
  <c r="H88" i="8"/>
  <c r="D202" i="8"/>
  <c r="C202" i="8"/>
  <c r="B202" i="8"/>
  <c r="K202" i="8"/>
  <c r="J202" i="8"/>
  <c r="I202" i="8"/>
  <c r="M202" i="8"/>
  <c r="N202" i="8" s="1"/>
  <c r="L202" i="8"/>
  <c r="G202" i="8"/>
  <c r="H202" i="8"/>
  <c r="I39" i="10"/>
  <c r="H39" i="10"/>
  <c r="D39" i="10"/>
  <c r="N39" i="10"/>
  <c r="O39" i="10" s="1"/>
  <c r="M39" i="10"/>
  <c r="K39" i="10"/>
  <c r="G39" i="10"/>
  <c r="F39" i="10"/>
  <c r="E39" i="10"/>
  <c r="L39" i="10"/>
  <c r="J39" i="10"/>
  <c r="C39" i="10"/>
  <c r="B39" i="10"/>
  <c r="C186" i="10"/>
  <c r="B186" i="10"/>
  <c r="M186" i="10"/>
  <c r="E186" i="10"/>
  <c r="D186" i="10"/>
  <c r="N186" i="10"/>
  <c r="O186" i="10" s="1"/>
  <c r="L186" i="10"/>
  <c r="J186" i="10"/>
  <c r="K186" i="10"/>
  <c r="I186" i="10"/>
  <c r="H186" i="10"/>
  <c r="F186" i="10"/>
  <c r="G186" i="10"/>
  <c r="E41" i="7"/>
  <c r="D41" i="7"/>
  <c r="C41" i="7"/>
  <c r="L41" i="7"/>
  <c r="M41" i="7"/>
  <c r="K41" i="7"/>
  <c r="G41" i="7"/>
  <c r="F41" i="7"/>
  <c r="J41" i="7"/>
  <c r="I41" i="7"/>
  <c r="H41" i="7"/>
  <c r="B41" i="7"/>
  <c r="B140" i="9"/>
  <c r="K140" i="9"/>
  <c r="F140" i="9"/>
  <c r="E140" i="9"/>
  <c r="L140" i="9"/>
  <c r="I140" i="9"/>
  <c r="H140" i="9"/>
  <c r="G140" i="9"/>
  <c r="J140" i="9"/>
  <c r="M140" i="9"/>
  <c r="N140" i="9" s="1"/>
  <c r="B118" i="9"/>
  <c r="I118" i="9"/>
  <c r="L118" i="9"/>
  <c r="K118" i="9"/>
  <c r="J118" i="9"/>
  <c r="H118" i="9"/>
  <c r="F118" i="9"/>
  <c r="M118" i="9"/>
  <c r="N118" i="9" s="1"/>
  <c r="G118" i="9"/>
  <c r="E118" i="9"/>
  <c r="L30" i="10"/>
  <c r="M30" i="10"/>
  <c r="K30" i="10"/>
  <c r="J30" i="10"/>
  <c r="I30" i="10"/>
  <c r="G30" i="10"/>
  <c r="N30" i="10"/>
  <c r="O30" i="10" s="1"/>
  <c r="E30" i="10"/>
  <c r="H30" i="10"/>
  <c r="B30" i="10"/>
  <c r="F30" i="10"/>
  <c r="C30" i="10"/>
  <c r="D30" i="10"/>
  <c r="M74" i="8"/>
  <c r="N74" i="8" s="1"/>
  <c r="I74" i="8"/>
  <c r="L74" i="8"/>
  <c r="G74" i="8"/>
  <c r="K74" i="8"/>
  <c r="H74" i="8"/>
  <c r="J74" i="8"/>
  <c r="D74" i="8"/>
  <c r="C74" i="8"/>
  <c r="B74" i="8"/>
  <c r="N79" i="10"/>
  <c r="O79" i="10" s="1"/>
  <c r="M79" i="10"/>
  <c r="L79" i="10"/>
  <c r="K79" i="10"/>
  <c r="J79" i="10"/>
  <c r="H79" i="10"/>
  <c r="I79" i="10"/>
  <c r="G79" i="10"/>
  <c r="F79" i="10"/>
  <c r="C79" i="10"/>
  <c r="E79" i="10"/>
  <c r="D79" i="10"/>
  <c r="B79" i="10"/>
  <c r="N143" i="7"/>
  <c r="O143" i="7" s="1"/>
  <c r="M143" i="7"/>
  <c r="C143" i="7"/>
  <c r="B143" i="7"/>
  <c r="J143" i="7"/>
  <c r="I143" i="7"/>
  <c r="E143" i="7"/>
  <c r="D143" i="7"/>
  <c r="H143" i="7"/>
  <c r="G143" i="7"/>
  <c r="F143" i="7"/>
  <c r="K143" i="7"/>
  <c r="L143" i="7"/>
  <c r="J54" i="9"/>
  <c r="E54" i="9"/>
  <c r="G54" i="9"/>
  <c r="F54" i="9"/>
  <c r="M54" i="9"/>
  <c r="N54" i="9" s="1"/>
  <c r="L54" i="9"/>
  <c r="K54" i="9"/>
  <c r="I54" i="9"/>
  <c r="H54" i="9"/>
  <c r="B54" i="9"/>
  <c r="C95" i="7"/>
  <c r="B95" i="7"/>
  <c r="N95" i="7"/>
  <c r="O95" i="7" s="1"/>
  <c r="M95" i="7"/>
  <c r="L95" i="7"/>
  <c r="K95" i="7"/>
  <c r="I95" i="7"/>
  <c r="J95" i="7"/>
  <c r="H95" i="7"/>
  <c r="G95" i="7"/>
  <c r="F95" i="7"/>
  <c r="D95" i="7"/>
  <c r="E95" i="7"/>
  <c r="B30" i="9"/>
  <c r="M30" i="9"/>
  <c r="N30" i="9" s="1"/>
  <c r="I30" i="9"/>
  <c r="G30" i="9"/>
  <c r="F30" i="9"/>
  <c r="E30" i="9"/>
  <c r="K30" i="9"/>
  <c r="J30" i="9"/>
  <c r="H30" i="9"/>
  <c r="L30" i="9"/>
  <c r="L185" i="8"/>
  <c r="K185" i="8"/>
  <c r="J185" i="8"/>
  <c r="I185" i="8"/>
  <c r="D185" i="8"/>
  <c r="H185" i="8"/>
  <c r="G185" i="8"/>
  <c r="M185" i="8"/>
  <c r="C185" i="8"/>
  <c r="N185" i="8"/>
  <c r="B185" i="8"/>
  <c r="E31" i="9"/>
  <c r="G31" i="9"/>
  <c r="F31" i="9"/>
  <c r="M31" i="9"/>
  <c r="N31" i="9" s="1"/>
  <c r="L31" i="9"/>
  <c r="K31" i="9"/>
  <c r="I31" i="9"/>
  <c r="J31" i="9"/>
  <c r="B31" i="9"/>
  <c r="H31" i="9"/>
  <c r="M136" i="8"/>
  <c r="N136" i="8" s="1"/>
  <c r="L136" i="8"/>
  <c r="K136" i="8"/>
  <c r="J136" i="8"/>
  <c r="I136" i="8"/>
  <c r="H136" i="8"/>
  <c r="G136" i="8"/>
  <c r="C136" i="8"/>
  <c r="B136" i="8"/>
  <c r="D136" i="8"/>
  <c r="M171" i="8"/>
  <c r="N171" i="8" s="1"/>
  <c r="L171" i="8"/>
  <c r="K171" i="8"/>
  <c r="G171" i="8"/>
  <c r="J171" i="8"/>
  <c r="H171" i="8"/>
  <c r="I171" i="8"/>
  <c r="D171" i="8"/>
  <c r="C171" i="8"/>
  <c r="B171" i="8"/>
  <c r="M87" i="8"/>
  <c r="N87" i="8" s="1"/>
  <c r="C87" i="8"/>
  <c r="D87" i="8"/>
  <c r="B87" i="8"/>
  <c r="H87" i="8"/>
  <c r="G87" i="8"/>
  <c r="L87" i="8"/>
  <c r="K87" i="8"/>
  <c r="I87" i="8"/>
  <c r="J87" i="8"/>
  <c r="M82" i="9"/>
  <c r="H82" i="9"/>
  <c r="B82" i="9"/>
  <c r="E82" i="9"/>
  <c r="J82" i="9"/>
  <c r="I82" i="9"/>
  <c r="G82" i="9"/>
  <c r="F82" i="9"/>
  <c r="N82" i="9"/>
  <c r="L82" i="9"/>
  <c r="K82" i="9"/>
  <c r="M43" i="8" l="1"/>
  <c r="M12" i="8"/>
  <c r="H5" i="17"/>
  <c r="H5" i="18"/>
  <c r="H14" i="18"/>
  <c r="H9" i="18"/>
  <c r="H10" i="18"/>
  <c r="H20" i="16"/>
  <c r="H18" i="16"/>
  <c r="H11" i="18"/>
  <c r="H4" i="18"/>
  <c r="H8" i="18"/>
  <c r="H7" i="18"/>
  <c r="I10" i="17"/>
  <c r="I7" i="17"/>
  <c r="I12" i="17"/>
  <c r="I9" i="17"/>
  <c r="I11" i="17"/>
  <c r="I5" i="17"/>
  <c r="I8" i="17"/>
  <c r="I6" i="17"/>
  <c r="I4" i="17"/>
  <c r="H12" i="16"/>
  <c r="H16" i="16"/>
  <c r="H9" i="16"/>
  <c r="H8" i="16"/>
  <c r="H15" i="16"/>
  <c r="H14" i="16"/>
  <c r="H17" i="16"/>
  <c r="H7" i="16"/>
  <c r="M9" i="9"/>
  <c r="M4" i="9"/>
  <c r="M6" i="8"/>
  <c r="N5" i="8" s="1"/>
  <c r="M22" i="8"/>
  <c r="M33" i="8"/>
  <c r="M23" i="8"/>
  <c r="M26" i="8"/>
  <c r="M9" i="8"/>
  <c r="N36" i="8" s="1"/>
  <c r="N39" i="7"/>
  <c r="N20" i="7"/>
  <c r="N8" i="7"/>
  <c r="N12" i="10"/>
  <c r="N67" i="7"/>
  <c r="N24" i="10"/>
  <c r="N65" i="7"/>
  <c r="N40" i="7"/>
  <c r="N48" i="7"/>
  <c r="N23" i="10"/>
  <c r="N7" i="10"/>
  <c r="N19" i="10"/>
  <c r="N16" i="10"/>
  <c r="M13" i="9"/>
  <c r="M7" i="9"/>
  <c r="N21" i="9" s="1"/>
  <c r="M23" i="9"/>
  <c r="M12" i="9"/>
  <c r="M16" i="9"/>
  <c r="M18" i="9"/>
  <c r="N18" i="9" s="1"/>
  <c r="M6" i="9"/>
  <c r="M19" i="9"/>
  <c r="M10" i="9"/>
  <c r="M15" i="9"/>
  <c r="M17" i="9"/>
  <c r="M14" i="9"/>
  <c r="M47" i="8"/>
  <c r="M49" i="8"/>
  <c r="M42" i="8"/>
  <c r="M31" i="8"/>
  <c r="M39" i="8"/>
  <c r="M50" i="8"/>
  <c r="M16" i="8"/>
  <c r="M29" i="8"/>
  <c r="M44" i="8"/>
  <c r="M13" i="8"/>
  <c r="M27" i="8"/>
  <c r="M34" i="8"/>
  <c r="M20" i="8"/>
  <c r="M48" i="8"/>
  <c r="M46" i="8"/>
  <c r="M24" i="8"/>
  <c r="M51" i="8"/>
  <c r="N51" i="8" s="1"/>
  <c r="N54" i="7"/>
  <c r="N26" i="7"/>
  <c r="N21" i="7"/>
  <c r="N68" i="7"/>
  <c r="N61" i="7"/>
  <c r="N66" i="7"/>
  <c r="N11" i="7"/>
  <c r="N30" i="7"/>
  <c r="N45" i="7"/>
  <c r="N34" i="7"/>
  <c r="N29" i="7"/>
  <c r="N69" i="7"/>
  <c r="N49" i="7"/>
  <c r="N52" i="7"/>
  <c r="N56" i="7"/>
  <c r="N51" i="7"/>
  <c r="N25" i="7"/>
  <c r="N59" i="7"/>
  <c r="N37" i="7"/>
  <c r="N27" i="7"/>
  <c r="N16" i="7"/>
  <c r="N23" i="7"/>
  <c r="N70" i="7"/>
  <c r="N32" i="7"/>
  <c r="N12" i="7"/>
  <c r="M28" i="8"/>
  <c r="M45" i="8"/>
  <c r="M14" i="8"/>
  <c r="M32" i="8"/>
  <c r="M21" i="8"/>
  <c r="M17" i="8"/>
  <c r="M7" i="8"/>
  <c r="M30" i="8"/>
  <c r="M25" i="8"/>
  <c r="N25" i="8" s="1"/>
  <c r="M5" i="8"/>
  <c r="M40" i="8"/>
  <c r="M19" i="8"/>
  <c r="N41" i="7"/>
  <c r="N28" i="7"/>
  <c r="N15" i="7"/>
  <c r="N6" i="7"/>
  <c r="N46" i="7"/>
  <c r="N50" i="7"/>
  <c r="N9" i="7"/>
  <c r="N63" i="7"/>
  <c r="N53" i="7"/>
  <c r="N47" i="7"/>
  <c r="N58" i="7"/>
  <c r="N62" i="7"/>
  <c r="N22" i="7"/>
  <c r="N13" i="7"/>
  <c r="N60" i="7"/>
  <c r="N35" i="7"/>
  <c r="N38" i="7"/>
  <c r="N43" i="7"/>
  <c r="N71" i="7"/>
  <c r="O71" i="7" s="1"/>
  <c r="N14" i="10"/>
  <c r="N36" i="7"/>
  <c r="N44" i="7"/>
  <c r="N55" i="7"/>
  <c r="N64" i="7"/>
  <c r="N5" i="7"/>
  <c r="N24" i="7"/>
  <c r="M22" i="9"/>
  <c r="M25" i="9"/>
  <c r="N25" i="9" s="1"/>
  <c r="M21" i="9"/>
  <c r="H19" i="16"/>
  <c r="H10" i="16"/>
  <c r="H6" i="16"/>
  <c r="H13" i="16"/>
  <c r="N17" i="10"/>
  <c r="N11" i="10"/>
  <c r="N6" i="10"/>
  <c r="O21" i="10" s="1"/>
  <c r="N22" i="10"/>
  <c r="N18" i="10"/>
  <c r="N9" i="10"/>
  <c r="N43" i="8"/>
  <c r="N13" i="8"/>
  <c r="O56" i="7" l="1"/>
  <c r="O59" i="7"/>
  <c r="O61" i="7"/>
  <c r="O54" i="7"/>
  <c r="N23" i="8"/>
  <c r="N17" i="8"/>
  <c r="N37" i="8"/>
  <c r="N22" i="8"/>
  <c r="N38" i="8"/>
  <c r="N17" i="9"/>
  <c r="O57" i="7"/>
  <c r="O52" i="7"/>
  <c r="O51" i="7"/>
  <c r="O45" i="7"/>
  <c r="O37" i="7"/>
  <c r="O48" i="7"/>
  <c r="O33" i="7"/>
  <c r="O40" i="7"/>
  <c r="O42" i="7"/>
  <c r="O32" i="7"/>
  <c r="O8" i="7"/>
  <c r="O55" i="7"/>
  <c r="O16" i="10"/>
  <c r="O19" i="10"/>
  <c r="O20" i="10"/>
  <c r="O12" i="10"/>
  <c r="O22" i="10"/>
  <c r="I9" i="18"/>
  <c r="I14" i="18"/>
  <c r="I12" i="18"/>
  <c r="I5" i="18"/>
  <c r="I13" i="18"/>
  <c r="I4" i="18"/>
  <c r="I7" i="18"/>
  <c r="I10" i="18"/>
  <c r="I8" i="18"/>
  <c r="I11" i="18"/>
  <c r="I6" i="18"/>
  <c r="I18" i="16"/>
  <c r="I20" i="16"/>
  <c r="I12" i="16"/>
  <c r="I16" i="16"/>
  <c r="I15" i="16"/>
  <c r="I9" i="16"/>
  <c r="I14" i="16"/>
  <c r="I17" i="16"/>
  <c r="I19" i="16"/>
  <c r="I13" i="16"/>
  <c r="I8" i="16"/>
  <c r="I7" i="16"/>
  <c r="I6" i="16"/>
  <c r="I5" i="16"/>
  <c r="I11" i="16"/>
  <c r="I10" i="16"/>
  <c r="I4" i="16"/>
  <c r="N5" i="9"/>
  <c r="N19" i="9"/>
  <c r="N45" i="8"/>
  <c r="O50" i="7"/>
  <c r="O4" i="7"/>
  <c r="O11" i="10"/>
  <c r="O28" i="7"/>
  <c r="O26" i="7"/>
  <c r="O8" i="10"/>
  <c r="O24" i="7"/>
  <c r="O20" i="7"/>
  <c r="O60" i="7"/>
  <c r="O58" i="7"/>
  <c r="O63" i="7"/>
  <c r="O15" i="7"/>
  <c r="O27" i="7"/>
  <c r="O30" i="7"/>
  <c r="O10" i="7"/>
  <c r="O25" i="7"/>
  <c r="O64" i="7"/>
  <c r="O4" i="10"/>
  <c r="O43" i="7"/>
  <c r="O9" i="10"/>
  <c r="O23" i="10"/>
  <c r="O14" i="10"/>
  <c r="O15" i="10"/>
  <c r="O6" i="10"/>
  <c r="O18" i="10"/>
  <c r="N32" i="8"/>
  <c r="N42" i="8"/>
  <c r="N4" i="8"/>
  <c r="N28" i="8"/>
  <c r="N16" i="8"/>
  <c r="N30" i="8"/>
  <c r="N40" i="8"/>
  <c r="N46" i="8"/>
  <c r="N35" i="8"/>
  <c r="N7" i="8"/>
  <c r="N27" i="8"/>
  <c r="N41" i="8"/>
  <c r="N11" i="8"/>
  <c r="N19" i="8"/>
  <c r="N14" i="8"/>
  <c r="N8" i="8"/>
  <c r="N10" i="8"/>
  <c r="N21" i="8"/>
  <c r="N47" i="8"/>
  <c r="O17" i="7"/>
  <c r="O53" i="7"/>
  <c r="O6" i="7"/>
  <c r="O46" i="7"/>
  <c r="O34" i="7"/>
  <c r="O19" i="7"/>
  <c r="O13" i="7"/>
  <c r="O22" i="7"/>
  <c r="O62" i="7"/>
  <c r="O14" i="7"/>
  <c r="O9" i="7"/>
  <c r="O11" i="7"/>
  <c r="O36" i="7"/>
  <c r="O49" i="7"/>
  <c r="O47" i="7"/>
  <c r="O12" i="7"/>
  <c r="O65" i="7"/>
  <c r="O7" i="7"/>
  <c r="O38" i="7"/>
  <c r="O39" i="7"/>
  <c r="O31" i="7"/>
  <c r="O18" i="7"/>
  <c r="O5" i="7"/>
  <c r="O44" i="7"/>
  <c r="O35" i="7"/>
  <c r="O29" i="7"/>
  <c r="N29" i="8"/>
  <c r="N50" i="8"/>
  <c r="N49" i="8"/>
  <c r="N48" i="8"/>
  <c r="N9" i="8"/>
  <c r="N39" i="8"/>
  <c r="N31" i="8"/>
  <c r="N20" i="8"/>
  <c r="N44" i="8"/>
  <c r="N6" i="8"/>
  <c r="N15" i="8"/>
  <c r="N12" i="8"/>
  <c r="N34" i="8"/>
  <c r="N24" i="8"/>
  <c r="N33" i="8"/>
  <c r="N18" i="8"/>
  <c r="N26" i="8"/>
  <c r="O69" i="7"/>
  <c r="O67" i="7"/>
  <c r="O70" i="7"/>
  <c r="O66" i="7"/>
  <c r="O7" i="10"/>
  <c r="O23" i="7"/>
  <c r="O24" i="10"/>
  <c r="O21" i="7"/>
  <c r="O41" i="7"/>
  <c r="O68" i="7"/>
  <c r="O16" i="7"/>
  <c r="N13" i="9"/>
  <c r="N6" i="9"/>
  <c r="N11" i="9"/>
  <c r="N10" i="9"/>
  <c r="N16" i="9"/>
  <c r="N15" i="9"/>
  <c r="N9" i="9"/>
  <c r="N23" i="9"/>
  <c r="N8" i="9"/>
  <c r="N14" i="9"/>
  <c r="N12" i="9"/>
  <c r="N22" i="9"/>
  <c r="N20" i="9"/>
  <c r="N4" i="9"/>
  <c r="N7" i="9"/>
  <c r="N24" i="9"/>
  <c r="O5" i="10"/>
  <c r="O13" i="10"/>
  <c r="O10" i="10"/>
  <c r="O17" i="10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<sst xmlns="http://schemas.openxmlformats.org/spreadsheetml/2006/main" count="1231" uniqueCount="311">
  <si>
    <t>WIELERKLASSEMENT — Instructies</t>
  </si>
  <si>
    <t>STAP 1: UITSLAG INVOEREN</t>
  </si>
  <si>
    <t>Ga naar de tab van de wedstrijd (Wedstrijd 1 t/m 5).</t>
  </si>
  <si>
    <t>Scroll naar de juiste klasse.</t>
  </si>
  <si>
    <t>Vul per renner in: Positie (of DNF/DNS), Startnummer, Persoon,</t>
  </si>
  <si>
    <t>Nationaliteit, Licentie, Club, Finishtijd en Verschil.</t>
  </si>
  <si>
    <t>De punten worden automatisch berekend in de laatste kolom.</t>
  </si>
  <si>
    <t>Klein veld: zet de cel naast '&lt;12?' op J bij de betreffende klasse.</t>
  </si>
  <si>
    <t>STAP 2: KLASSEMENT BEKIJKEN</t>
  </si>
  <si>
    <t>Ga naar de Stand-tabs voor het actuele klassement.</t>
  </si>
  <si>
    <t>Alle renners en punten worden AUTOMATISCH overgenomen!</t>
  </si>
  <si>
    <t>LET OP: Typ namen EXACT hetzelfde in elke wedstrijdtab!</t>
  </si>
  <si>
    <t>PUNTENTELLING:</t>
  </si>
  <si>
    <t>≥12 voorinschr.: Positie 1-30 zie Puntentabel, 31+ = 1 punt</t>
  </si>
  <si>
    <t>&lt;12 voorinschr.: Positie 1-11 zie Puntentabel, 12+ = 1 punt</t>
  </si>
  <si>
    <t>DNF = 1 punt  |  DNS of niet deelgenomen = 0 punten</t>
  </si>
  <si>
    <t>GROENE TRUI — SPRINTKLASSEMENT</t>
  </si>
  <si>
    <t>Ga naar de Sprint-tabs (Sprint W1 t/m W5).</t>
  </si>
  <si>
    <t>Vul per sprint de top 5 namen in (1e t/m 5e).</t>
  </si>
  <si>
    <t>Per sprint: 5-4-3-2-1 punten.</t>
  </si>
  <si>
    <t>De stand wordt automatisch berekend in Groene Kl1, Groene Kl3 en Groene Nwl.</t>
  </si>
  <si>
    <t>Wedstrijd 1 — Vul de uitslag per klasse in</t>
  </si>
  <si>
    <t>KLASSE 1 &amp; JUNIOREN</t>
  </si>
  <si>
    <t>&lt;12?</t>
  </si>
  <si>
    <t>N</t>
  </si>
  <si>
    <t>Positie</t>
  </si>
  <si>
    <t>Startnummer</t>
  </si>
  <si>
    <t>Persoon</t>
  </si>
  <si>
    <t>Licentie</t>
  </si>
  <si>
    <t>Club</t>
  </si>
  <si>
    <t>Finishtijd</t>
  </si>
  <si>
    <t>Verschil</t>
  </si>
  <si>
    <t>Punten</t>
  </si>
  <si>
    <t>Peter Stienstra</t>
  </si>
  <si>
    <t>KNWU Licentie (Plus)</t>
  </si>
  <si>
    <t>Henriko van Veldhuizen</t>
  </si>
  <si>
    <t>Erwin van Leijen</t>
  </si>
  <si>
    <t>Mitchell Huenders</t>
  </si>
  <si>
    <t>Steven Stenekes</t>
  </si>
  <si>
    <t>Niels Immerzeel</t>
  </si>
  <si>
    <t>Patrick van Veldhuizen</t>
  </si>
  <si>
    <t>Daan Switters</t>
  </si>
  <si>
    <t>Rick Veenhoven</t>
  </si>
  <si>
    <t>Ruben Ubels</t>
  </si>
  <si>
    <t>Eddy van IJzendoorn</t>
  </si>
  <si>
    <t>Rick Vroege</t>
  </si>
  <si>
    <t>Egon Nanninga</t>
  </si>
  <si>
    <t>Ties Veldkamp</t>
  </si>
  <si>
    <t>Julian Dingemans</t>
  </si>
  <si>
    <t>Junior (U19)</t>
  </si>
  <si>
    <t>Nout Remeeus</t>
  </si>
  <si>
    <t>Peter Res</t>
  </si>
  <si>
    <t>Yoep van der Peet</t>
  </si>
  <si>
    <t>Melvin Drost</t>
  </si>
  <si>
    <t>Melle Nikkels</t>
  </si>
  <si>
    <t>Alexander Harper</t>
  </si>
  <si>
    <t>Bart Veldhuizen</t>
  </si>
  <si>
    <t>Martijn Veling</t>
  </si>
  <si>
    <t>Jelmer Groen</t>
  </si>
  <si>
    <t>Jan de Graaf</t>
  </si>
  <si>
    <t>Ron Bol</t>
  </si>
  <si>
    <t>Mark Hermsen</t>
  </si>
  <si>
    <t>Danny Vrolijk</t>
  </si>
  <si>
    <t>Egbert Schoemaker</t>
  </si>
  <si>
    <t>Eddy Hermsen</t>
  </si>
  <si>
    <t>DNF</t>
  </si>
  <si>
    <t>Deon Bergwerff</t>
  </si>
  <si>
    <t>KLASSE 3</t>
  </si>
  <si>
    <t>Roy Barten</t>
  </si>
  <si>
    <t>Aleid Klompmaker</t>
  </si>
  <si>
    <t>Dennis Hazelaar</t>
  </si>
  <si>
    <t>Frank Weijers</t>
  </si>
  <si>
    <t>Stephan Schipper</t>
  </si>
  <si>
    <t>Maarten Pereboom</t>
  </si>
  <si>
    <t>Jaap Mekenkamp</t>
  </si>
  <si>
    <t>Robert Post</t>
  </si>
  <si>
    <t>Arjen Veldhuizen</t>
  </si>
  <si>
    <t>Gerjan Olsder</t>
  </si>
  <si>
    <t>David Noordhoek</t>
  </si>
  <si>
    <t>Brian Linde</t>
  </si>
  <si>
    <t>Thomas van der Wardt</t>
  </si>
  <si>
    <t>Kian Fidder</t>
  </si>
  <si>
    <t>Andre van der Poel</t>
  </si>
  <si>
    <t>Hans van Brakel</t>
  </si>
  <si>
    <t>Remco van Dijk</t>
  </si>
  <si>
    <t>Jamon van Veldhuizen</t>
  </si>
  <si>
    <t>Sjoerd Willemsen</t>
  </si>
  <si>
    <t>Andre Klompmaker</t>
  </si>
  <si>
    <t>Daniel van der Meulen</t>
  </si>
  <si>
    <t>Mark Snapper</t>
  </si>
  <si>
    <t>Klaas Smink</t>
  </si>
  <si>
    <t>Michiel Brul</t>
  </si>
  <si>
    <t>Erwin van Veenschoten</t>
  </si>
  <si>
    <t>Nathan Bakkenes</t>
  </si>
  <si>
    <t>Marcel Ekkel</t>
  </si>
  <si>
    <t>Marlene de Ruiter</t>
  </si>
  <si>
    <t>Maas van Beek</t>
  </si>
  <si>
    <t>Wedstrijd 2 — Vul de uitslag per klasse in</t>
  </si>
  <si>
    <t>Nationaliteit</t>
  </si>
  <si>
    <t>Florijn van der Vliet</t>
  </si>
  <si>
    <t> NED</t>
  </si>
  <si>
    <t>W.V. Eemland</t>
  </si>
  <si>
    <t>-</t>
  </si>
  <si>
    <t>Niek Bos</t>
  </si>
  <si>
    <t>Team DFM</t>
  </si>
  <si>
    <t>Roel de Vries</t>
  </si>
  <si>
    <t>KNWU Licentie (Premium)</t>
  </si>
  <si>
    <t>WV De IJsselstreek</t>
  </si>
  <si>
    <t>KNWU</t>
  </si>
  <si>
    <t>Noery Weber</t>
  </si>
  <si>
    <t>ASC Olympia</t>
  </si>
  <si>
    <t>Lars de Weert</t>
  </si>
  <si>
    <t>Nick Broos</t>
  </si>
  <si>
    <t>FAVO-Kevenaar Cycling Team</t>
  </si>
  <si>
    <t>GWC de Adelaar</t>
  </si>
  <si>
    <t>Olaf Oussoren</t>
  </si>
  <si>
    <t>WV de Valleirenners AXA</t>
  </si>
  <si>
    <t>WV de Driehoek</t>
  </si>
  <si>
    <t>Ole Niesing</t>
  </si>
  <si>
    <t>Freek Valkonet</t>
  </si>
  <si>
    <t>Peter Jansen</t>
  </si>
  <si>
    <t>USWV De Domrenner</t>
  </si>
  <si>
    <t>Mick de Rooij</t>
  </si>
  <si>
    <t>Rens Thomassen</t>
  </si>
  <si>
    <t>TWC 't Verzetje</t>
  </si>
  <si>
    <t>Willebrord Wil Vooruit</t>
  </si>
  <si>
    <t>Pim Jansen</t>
  </si>
  <si>
    <t>WV Schijndel</t>
  </si>
  <si>
    <t>BEAT Cycling Club</t>
  </si>
  <si>
    <t>ZWC D.T.S.</t>
  </si>
  <si>
    <t>NIEUWELINGEN</t>
  </si>
  <si>
    <t>j</t>
  </si>
  <si>
    <t>Benjamin van der Sar</t>
  </si>
  <si>
    <t>KNWU Licentie (plus)</t>
  </si>
  <si>
    <t>Stijn van Twiller</t>
  </si>
  <si>
    <t>Rens van Middelaar</t>
  </si>
  <si>
    <t>Stijn Beekman</t>
  </si>
  <si>
    <t>Quinten van putten</t>
  </si>
  <si>
    <t>Jirt Brinkman</t>
  </si>
  <si>
    <t>Abe van Laar</t>
  </si>
  <si>
    <t>RETO</t>
  </si>
  <si>
    <t>Wedstrijd 3 — Vul de uitslag per klasse in</t>
  </si>
  <si>
    <t>Wedstrijd 4 — Vul de uitslag per klasse in</t>
  </si>
  <si>
    <t>Wedstrijd 5 — Vul de uitslag per klasse in</t>
  </si>
  <si>
    <t>Klassement Stand 1 en Jun</t>
  </si>
  <si>
    <t>Renners en punten worden automatisch opgehaald uit de wedstrijdtabs.</t>
  </si>
  <si>
    <t>Pos BVD</t>
  </si>
  <si>
    <t>Pnt BVD</t>
  </si>
  <si>
    <t>Pos BRN</t>
  </si>
  <si>
    <t>Pnt BRN</t>
  </si>
  <si>
    <t>Pnt W3</t>
  </si>
  <si>
    <t>Pos W4</t>
  </si>
  <si>
    <t>Pnt W4</t>
  </si>
  <si>
    <t>Pos W5</t>
  </si>
  <si>
    <t>Pnt W5</t>
  </si>
  <si>
    <t>Totaal</t>
  </si>
  <si>
    <t>Klassement Stand 3</t>
  </si>
  <si>
    <t>Klassement Stand Nwl</t>
  </si>
  <si>
    <t>Klassement Witte Trui</t>
  </si>
  <si>
    <t>Sprint Wedstrijd 1 — Groene trui</t>
  </si>
  <si>
    <t>KLASSE 1</t>
  </si>
  <si>
    <t>Sprint</t>
  </si>
  <si>
    <t>1e (5 pt)</t>
  </si>
  <si>
    <t>2e (4 pt)</t>
  </si>
  <si>
    <t>3e (3 pt)</t>
  </si>
  <si>
    <t>4e (2 pt)</t>
  </si>
  <si>
    <t>5e (1 pt)</t>
  </si>
  <si>
    <t>Sprint 1</t>
  </si>
  <si>
    <t>Sprint 2</t>
  </si>
  <si>
    <t>Sprint 3</t>
  </si>
  <si>
    <t>Sprint 4</t>
  </si>
  <si>
    <t>Sprint 5</t>
  </si>
  <si>
    <t>Sprint Wedstrijd 2 — Groene trui</t>
  </si>
  <si>
    <t>Sprint Wedstrijd 3 — Groene trui</t>
  </si>
  <si>
    <t>Sprint Wedstrijd 4 — Groene trui</t>
  </si>
  <si>
    <t>Sprint Wedstrijd 5 — Groene trui</t>
  </si>
  <si>
    <t>Groene Trui — Klasse 1 &amp; Junioren</t>
  </si>
  <si>
    <t>Sprintpunten worden automatisch opgehaald.</t>
  </si>
  <si>
    <t>W1</t>
  </si>
  <si>
    <t>W2</t>
  </si>
  <si>
    <t>W3</t>
  </si>
  <si>
    <t>W4</t>
  </si>
  <si>
    <t>W5</t>
  </si>
  <si>
    <t>Groene Trui — Klasse 3</t>
  </si>
  <si>
    <t>Groene Trui — Nieuwelingen</t>
  </si>
  <si>
    <t>Punten (≥12)</t>
  </si>
  <si>
    <t>Punten (&lt;12)</t>
  </si>
  <si>
    <t>31+</t>
  </si>
  <si>
    <t>DNS</t>
  </si>
  <si>
    <t>1e</t>
  </si>
  <si>
    <t>2e</t>
  </si>
  <si>
    <t>3e</t>
  </si>
  <si>
    <t>4e</t>
  </si>
  <si>
    <t>5e</t>
  </si>
  <si>
    <t>Owen Chenault</t>
  </si>
  <si>
    <t>KNWU Licentie (premium)</t>
  </si>
  <si>
    <t>JEGG – SKIL – DJR (WV De Jonge Renner)</t>
  </si>
  <si>
    <t>Finn Klaus</t>
  </si>
  <si>
    <t>Milan Docter</t>
  </si>
  <si>
    <t>ATB vereniging Oldebroek</t>
  </si>
  <si>
    <t>Nick Snippe</t>
  </si>
  <si>
    <t>W.V. Meteoor Assen-Roden</t>
  </si>
  <si>
    <t>Floris Otto</t>
  </si>
  <si>
    <t>WTC Woerden</t>
  </si>
  <si>
    <t>Thomas van Dijk</t>
  </si>
  <si>
    <t> BEL</t>
  </si>
  <si>
    <t>Tim Hommersom</t>
  </si>
  <si>
    <t>Pim Molenaar</t>
  </si>
  <si>
    <t>Hoornse Ren en Toerclub</t>
  </si>
  <si>
    <t>Levi van der Kaa</t>
  </si>
  <si>
    <t>Floris Kuiper</t>
  </si>
  <si>
    <t>AWV de Zwaluwen</t>
  </si>
  <si>
    <t>Jochem ter Weel</t>
  </si>
  <si>
    <t>+ 1 Ronde</t>
  </si>
  <si>
    <t>14</t>
  </si>
  <si>
    <t>15</t>
  </si>
  <si>
    <t>Federico Talen</t>
  </si>
  <si>
    <t>+ 2 Ronden</t>
  </si>
  <si>
    <t>Cas de Vreede</t>
  </si>
  <si>
    <t>Wielerclub De Waardrenner</t>
  </si>
  <si>
    <t>+ DNF</t>
  </si>
  <si>
    <t>Ilya Fontaine</t>
  </si>
  <si>
    <t>Robert de Jong</t>
  </si>
  <si>
    <t>Specialized Project '74</t>
  </si>
  <si>
    <t>Lennart Nelisse</t>
  </si>
  <si>
    <t>Westland Wil Vooruit</t>
  </si>
  <si>
    <t>Koen Vinke</t>
  </si>
  <si>
    <t>DWV Klein Verzet</t>
  </si>
  <si>
    <t>KNWU Licentie (Basis)</t>
  </si>
  <si>
    <t>+ 3 Ronden</t>
  </si>
  <si>
    <t>9</t>
  </si>
  <si>
    <t>10</t>
  </si>
  <si>
    <t>11</t>
  </si>
  <si>
    <t>12</t>
  </si>
  <si>
    <t>Laurens Dijkstra</t>
  </si>
  <si>
    <t>WV de Amstel</t>
  </si>
  <si>
    <t>13</t>
  </si>
  <si>
    <t>JvR de Batauwers</t>
  </si>
  <si>
    <t>16</t>
  </si>
  <si>
    <t>Stefan Appelman</t>
  </si>
  <si>
    <t>BRC Kennemerland</t>
  </si>
  <si>
    <t>17</t>
  </si>
  <si>
    <t>Ruud van Leeuwen</t>
  </si>
  <si>
    <t>A.S.S.W.S.V. SKITS</t>
  </si>
  <si>
    <t>18</t>
  </si>
  <si>
    <t>19</t>
  </si>
  <si>
    <t>Jesse Haaksman</t>
  </si>
  <si>
    <t>RTV Oldenzaalse WCL</t>
  </si>
  <si>
    <t>20</t>
  </si>
  <si>
    <t>Lieuwe van der Meulen</t>
  </si>
  <si>
    <t>21</t>
  </si>
  <si>
    <t>Lars Ruizendaal</t>
  </si>
  <si>
    <t>22</t>
  </si>
  <si>
    <t>Frans Hoveijn</t>
  </si>
  <si>
    <t>23</t>
  </si>
  <si>
    <t>Patrick Stengs</t>
  </si>
  <si>
    <t>West Frisia</t>
  </si>
  <si>
    <t>24</t>
  </si>
  <si>
    <t>Bas Visser</t>
  </si>
  <si>
    <t>25</t>
  </si>
  <si>
    <t>Dik van de Koolwijk</t>
  </si>
  <si>
    <t>FCA Cycling team</t>
  </si>
  <si>
    <t>+ 8 Ronden</t>
  </si>
  <si>
    <t>26</t>
  </si>
  <si>
    <t>Marijn van Buren</t>
  </si>
  <si>
    <t>DRC de Mol</t>
  </si>
  <si>
    <t>27</t>
  </si>
  <si>
    <t>Roan van de Steeg</t>
  </si>
  <si>
    <t>+ 10 Ronden</t>
  </si>
  <si>
    <t>28</t>
  </si>
  <si>
    <t>Finn Bouwer</t>
  </si>
  <si>
    <t>LRTV Swift</t>
  </si>
  <si>
    <t>29</t>
  </si>
  <si>
    <t>+ 11 Ronden</t>
  </si>
  <si>
    <t>Camiel Beuker</t>
  </si>
  <si>
    <t>WV Het Stadion</t>
  </si>
  <si>
    <t>Rick Schuurman</t>
  </si>
  <si>
    <t>WSV de Peddelaars</t>
  </si>
  <si>
    <t>Marc Borst</t>
  </si>
  <si>
    <t>Menno van Capel</t>
  </si>
  <si>
    <t>Uithoornse WTC</t>
  </si>
  <si>
    <t> GBR</t>
  </si>
  <si>
    <t>NSWV Mercurius</t>
  </si>
  <si>
    <t>Kion van Es</t>
  </si>
  <si>
    <t>UWTC de Volharding</t>
  </si>
  <si>
    <t>Floris Pennings</t>
  </si>
  <si>
    <t>TML Dommelstreek</t>
  </si>
  <si>
    <t>Douwe Beukers</t>
  </si>
  <si>
    <t>Spiek Oord</t>
  </si>
  <si>
    <t>Jacob Meijer</t>
  </si>
  <si>
    <t>Eibert van 't Hof</t>
  </si>
  <si>
    <t>RWV de Spartaan</t>
  </si>
  <si>
    <t>Timon Veerman</t>
  </si>
  <si>
    <t>Dennis Gerressen</t>
  </si>
  <si>
    <t>Jorrit van Ramshorst</t>
  </si>
  <si>
    <t>Jorden Paays</t>
  </si>
  <si>
    <t>Steven van der Wilk</t>
  </si>
  <si>
    <t>WV Ede</t>
  </si>
  <si>
    <t>Etienne Bouw</t>
  </si>
  <si>
    <t>Sander Leppers</t>
  </si>
  <si>
    <t>Matthijs Looijen</t>
  </si>
  <si>
    <t>Stijn Janssen</t>
  </si>
  <si>
    <t>Bram van Nieuwkoop</t>
  </si>
  <si>
    <t>+ 4 Ronden</t>
  </si>
  <si>
    <t>Niels de Graaff</t>
  </si>
  <si>
    <t>Aron Vink</t>
  </si>
  <si>
    <t>Ralph Valkonet</t>
  </si>
  <si>
    <t>Pos SZ</t>
  </si>
  <si>
    <t>Ruben Ubbels</t>
  </si>
  <si>
    <t>Steven van de Wilk</t>
  </si>
  <si>
    <t>levi van der Kaa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</si>
</sst>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"/>
  </numFmts>
  <fonts count="23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6"/>
      <color rgb="FF4472C4"/>
      <name val="Arial"/>
      <charset val="1"/>
    </font>
    <font>
      <sz val="11"/>
      <name val="Arial"/>
      <charset val="1"/>
    </font>
    <font>
      <b/>
      <sz val="13"/>
      <name val="Arial"/>
      <charset val="1"/>
    </font>
    <font>
      <i/>
      <sz val="11"/>
      <name val="Arial"/>
      <charset val="1"/>
    </font>
    <font>
      <b/>
      <sz val="11"/>
      <color rgb="FFFF0000"/>
      <name val="Arial"/>
      <charset val="1"/>
    </font>
    <font>
      <b/>
      <sz val="16"/>
      <color rgb="FF22753A"/>
      <name val="Arial"/>
      <charset val="1"/>
    </font>
    <font>
      <b/>
      <sz val="14"/>
      <color rgb="FF4472C4"/>
      <name val="Arial"/>
      <charset val="1"/>
    </font>
    <font>
      <b/>
      <sz val="13"/>
      <color rgb="FFFFFFFF"/>
      <name val="Arial"/>
      <charset val="1"/>
    </font>
    <font>
      <b/>
      <sz val="11"/>
      <color rgb="FFFFFFFF"/>
      <name val="Arial"/>
      <charset val="1"/>
    </font>
    <font>
      <b/>
      <sz val="12"/>
      <color rgb="FF0000FF"/>
      <name val="Arial"/>
      <charset val="1"/>
    </font>
    <font>
      <sz val="11"/>
      <color rgb="FF0000FF"/>
      <name val="Arial"/>
      <charset val="1"/>
    </font>
    <font>
      <sz val="10"/>
      <color rgb="FF212529"/>
      <name val="Segoe UI"/>
      <family val="2"/>
      <charset val="1"/>
    </font>
    <font>
      <sz val="11"/>
      <color rgb="FF0000FF"/>
      <name val="Arial"/>
      <family val="2"/>
      <charset val="1"/>
    </font>
    <font>
      <b/>
      <sz val="12"/>
      <color rgb="FF0000FF"/>
      <name val="Arial"/>
      <family val="2"/>
      <charset val="1"/>
    </font>
    <font>
      <i/>
      <sz val="10"/>
      <color rgb="FF666666"/>
      <name val="Arial"/>
      <charset val="1"/>
    </font>
    <font>
      <sz val="10"/>
      <color rgb="FF666666"/>
      <name val="Arial"/>
      <charset val="1"/>
    </font>
    <font>
      <b/>
      <sz val="11"/>
      <name val="Arial"/>
      <charset val="1"/>
    </font>
    <font>
      <b/>
      <sz val="14"/>
      <color rgb="FF22753A"/>
      <name val="Arial"/>
      <charset val="1"/>
    </font>
    <font>
      <sz val="11"/>
      <color theme="1"/>
      <name val="Calibri"/>
      <family val="2"/>
      <charset val="1"/>
    </font>
    <font>
      <b/>
      <sz val="11"/>
      <color rgb="FFFFFFFF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2F5496"/>
        <bgColor rgb="FF4472C4"/>
      </patternFill>
    </fill>
    <fill>
      <patternFill patternType="solid">
        <fgColor rgb="FFFFC000"/>
        <bgColor rgb="FFFF9900"/>
      </patternFill>
    </fill>
    <fill>
      <patternFill patternType="solid">
        <fgColor rgb="FF4472C4"/>
        <bgColor rgb="FF2F5496"/>
      </patternFill>
    </fill>
    <fill>
      <patternFill patternType="solid">
        <fgColor rgb="FFFFFFCC"/>
        <bgColor rgb="FFFFFFFF"/>
      </patternFill>
    </fill>
    <fill>
      <patternFill patternType="solid">
        <fgColor rgb="FFE2EFDA"/>
        <bgColor rgb="FFE6F4EA"/>
      </patternFill>
    </fill>
    <fill>
      <patternFill patternType="solid">
        <fgColor rgb="FFFFFF00"/>
        <bgColor rgb="FFFFFF00"/>
      </patternFill>
    </fill>
    <fill>
      <patternFill patternType="solid">
        <fgColor rgb="FFD9E2F3"/>
        <bgColor rgb="FFE2EFDA"/>
      </patternFill>
    </fill>
    <fill>
      <patternFill patternType="solid">
        <fgColor rgb="FFB4C6E7"/>
        <bgColor rgb="FFCCCCCC"/>
      </patternFill>
    </fill>
    <fill>
      <patternFill patternType="solid">
        <fgColor rgb="FF1B5E2F"/>
        <bgColor rgb="FF22753A"/>
      </patternFill>
    </fill>
    <fill>
      <patternFill patternType="solid">
        <fgColor rgb="FF22753A"/>
        <bgColor rgb="FF1B5E2F"/>
      </patternFill>
    </fill>
    <fill>
      <patternFill patternType="solid">
        <fgColor rgb="FFE6F4EA"/>
        <bgColor rgb="FFE2EFDA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3">
    <xf numFmtId="0" fontId="0" fillId="0" borderId="0"/>
    <xf numFmtId="0" fontId="2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2" borderId="1" xfId="0" applyFont="1" applyFill="1" applyBorder="1"/>
    <xf numFmtId="0" fontId="0" fillId="2" borderId="1" xfId="0" applyFill="1" applyBorder="1"/>
    <xf numFmtId="0" fontId="10" fillId="2" borderId="1" xfId="0" applyFont="1" applyFill="1" applyBorder="1" applyAlignment="1">
      <alignment horizontal="right"/>
    </xf>
    <xf numFmtId="0" fontId="11" fillId="3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3" fillId="0" borderId="1" xfId="0" applyFont="1" applyBorder="1"/>
    <xf numFmtId="0" fontId="20" fillId="0" borderId="2" xfId="1" applyBorder="1"/>
    <xf numFmtId="0" fontId="3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5" borderId="1" xfId="0" applyFont="1" applyFill="1" applyBorder="1"/>
    <xf numFmtId="0" fontId="13" fillId="0" borderId="0" xfId="0" applyFont="1"/>
    <xf numFmtId="0" fontId="14" fillId="5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3" fillId="7" borderId="1" xfId="0" applyFont="1" applyFill="1" applyBorder="1"/>
    <xf numFmtId="0" fontId="10" fillId="4" borderId="1" xfId="0" applyFont="1" applyFill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0" fontId="18" fillId="8" borderId="1" xfId="0" applyFont="1" applyFill="1" applyBorder="1" applyAlignment="1">
      <alignment horizontal="center"/>
    </xf>
    <xf numFmtId="0" fontId="18" fillId="9" borderId="1" xfId="0" applyFont="1" applyFill="1" applyBorder="1" applyAlignment="1">
      <alignment horizontal="center"/>
    </xf>
    <xf numFmtId="0" fontId="9" fillId="10" borderId="1" xfId="0" applyFont="1" applyFill="1" applyBorder="1"/>
    <xf numFmtId="0" fontId="0" fillId="10" borderId="1" xfId="0" applyFill="1" applyBorder="1"/>
    <xf numFmtId="0" fontId="10" fillId="11" borderId="1" xfId="0" applyFont="1" applyFill="1" applyBorder="1" applyAlignment="1">
      <alignment horizontal="center"/>
    </xf>
    <xf numFmtId="0" fontId="18" fillId="0" borderId="1" xfId="0" applyFont="1" applyBorder="1"/>
    <xf numFmtId="0" fontId="3" fillId="12" borderId="1" xfId="0" applyFont="1" applyFill="1" applyBorder="1"/>
    <xf numFmtId="0" fontId="10" fillId="11" borderId="1" xfId="0" applyFont="1" applyFill="1" applyBorder="1" applyAlignment="1">
      <alignment horizontal="center" wrapText="1"/>
    </xf>
    <xf numFmtId="0" fontId="0" fillId="0" borderId="1" xfId="0" applyBorder="1"/>
    <xf numFmtId="0" fontId="10" fillId="11" borderId="1" xfId="0" applyFont="1" applyFill="1" applyBorder="1"/>
    <xf numFmtId="0" fontId="21" fillId="4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22" fillId="12" borderId="1" xfId="0" applyFont="1" applyFill="1" applyBorder="1"/>
    <xf numFmtId="0" fontId="1" fillId="0" borderId="0" xfId="2"/>
    <xf numFmtId="0" fontId="1" fillId="0" borderId="0" xfId="2" applyAlignment="1">
      <alignment wrapText="1"/>
    </xf>
    <xf numFmtId="0" fontId="8" fillId="8" borderId="0" xfId="0" applyFont="1" applyFill="1"/>
    <xf numFmtId="0" fontId="16" fillId="0" borderId="0" xfId="0" applyFont="1"/>
    <xf numFmtId="0" fontId="8" fillId="0" borderId="0" xfId="0" applyFont="1"/>
    <xf numFmtId="0" fontId="19" fillId="0" borderId="0" xfId="0" applyFont="1"/>
    <xf numFmtId="0" fontId="19" fillId="12" borderId="0" xfId="0" applyFont="1" applyFill="1"/>
  </cellXfs>
  <cellStyles count="3">
    <cellStyle name="Standaard" xfId="0" builtinId="0"/>
    <cellStyle name="Standaard 2" xfId="1" xr:uid="{00000000-0005-0000-0000-000006000000}"/>
    <cellStyle name="Standaard 3" xfId="2" xr:uid="{410CB882-281F-4A49-B603-D6C7E0431228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2753A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E6F4EA"/>
      <rgbColor rgb="FF660066"/>
      <rgbColor rgb="FFFF8080"/>
      <rgbColor rgb="FF0066CC"/>
      <rgbColor rgb="FFB4C6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2F3"/>
      <rgbColor rgb="FFE2EFDA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000"/>
      <rgbColor rgb="FFFF9900"/>
      <rgbColor rgb="FFFF6600"/>
      <rgbColor rgb="FF666666"/>
      <rgbColor rgb="FF969696"/>
      <rgbColor rgb="FF003366"/>
      <rgbColor rgb="FF339966"/>
      <rgbColor rgb="FF003300"/>
      <rgbColor rgb="FF1B5E2F"/>
      <rgbColor rgb="FF993300"/>
      <rgbColor rgb="FF993366"/>
      <rgbColor rgb="FF2F5496"/>
      <rgbColor rgb="FF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209</xdr:row>
      <xdr:rowOff>0</xdr:rowOff>
    </xdr:from>
    <xdr:to>
      <xdr:col>3</xdr:col>
      <xdr:colOff>209550</xdr:colOff>
      <xdr:row>210</xdr:row>
      <xdr:rowOff>19050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B8AA4A79-BBEC-7376-C313-AF80A9857DA7}"/>
            </a:ext>
          </a:extLst>
        </xdr:cNvPr>
        <xdr:cNvSpPr>
          <a:spLocks noChangeAspect="1" noChangeArrowheads="1"/>
        </xdr:cNvSpPr>
      </xdr:nvSpPr>
      <xdr:spPr bwMode="auto">
        <a:xfrm>
          <a:off x="3467100" y="399192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210</xdr:row>
      <xdr:rowOff>28575</xdr:rowOff>
    </xdr:from>
    <xdr:to>
      <xdr:col>3</xdr:col>
      <xdr:colOff>209550</xdr:colOff>
      <xdr:row>211</xdr:row>
      <xdr:rowOff>47625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80FB23B5-1049-3ECD-DF3D-13CD76D4FDD8}"/>
            </a:ext>
          </a:extLst>
        </xdr:cNvPr>
        <xdr:cNvSpPr>
          <a:spLocks noChangeAspect="1" noChangeArrowheads="1"/>
        </xdr:cNvSpPr>
      </xdr:nvSpPr>
      <xdr:spPr bwMode="auto">
        <a:xfrm>
          <a:off x="3467100" y="403193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211</xdr:row>
      <xdr:rowOff>57150</xdr:rowOff>
    </xdr:from>
    <xdr:to>
      <xdr:col>3</xdr:col>
      <xdr:colOff>209550</xdr:colOff>
      <xdr:row>212</xdr:row>
      <xdr:rowOff>76200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BCCB5BFC-A400-C98F-5E63-A3B82C943C21}"/>
            </a:ext>
          </a:extLst>
        </xdr:cNvPr>
        <xdr:cNvSpPr>
          <a:spLocks noChangeAspect="1" noChangeArrowheads="1"/>
        </xdr:cNvSpPr>
      </xdr:nvSpPr>
      <xdr:spPr bwMode="auto">
        <a:xfrm>
          <a:off x="3467100" y="407193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212</xdr:row>
      <xdr:rowOff>85725</xdr:rowOff>
    </xdr:from>
    <xdr:to>
      <xdr:col>3</xdr:col>
      <xdr:colOff>209550</xdr:colOff>
      <xdr:row>213</xdr:row>
      <xdr:rowOff>104775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B39BA6A1-918A-4764-EB18-ED8C5684BD0B}"/>
            </a:ext>
          </a:extLst>
        </xdr:cNvPr>
        <xdr:cNvSpPr>
          <a:spLocks noChangeAspect="1" noChangeArrowheads="1"/>
        </xdr:cNvSpPr>
      </xdr:nvSpPr>
      <xdr:spPr bwMode="auto">
        <a:xfrm>
          <a:off x="3467100" y="411194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213</xdr:row>
      <xdr:rowOff>114300</xdr:rowOff>
    </xdr:from>
    <xdr:to>
      <xdr:col>3</xdr:col>
      <xdr:colOff>209550</xdr:colOff>
      <xdr:row>214</xdr:row>
      <xdr:rowOff>133350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F170B5CB-51ED-9BB0-03DE-75D40E24DB7A}"/>
            </a:ext>
          </a:extLst>
        </xdr:cNvPr>
        <xdr:cNvSpPr>
          <a:spLocks noChangeAspect="1" noChangeArrowheads="1"/>
        </xdr:cNvSpPr>
      </xdr:nvSpPr>
      <xdr:spPr bwMode="auto">
        <a:xfrm>
          <a:off x="3467100" y="415194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214</xdr:row>
      <xdr:rowOff>142875</xdr:rowOff>
    </xdr:from>
    <xdr:to>
      <xdr:col>3</xdr:col>
      <xdr:colOff>209550</xdr:colOff>
      <xdr:row>215</xdr:row>
      <xdr:rowOff>161925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FB8DA232-CC5B-FD60-018F-371D260E6B24}"/>
            </a:ext>
          </a:extLst>
        </xdr:cNvPr>
        <xdr:cNvSpPr>
          <a:spLocks noChangeAspect="1" noChangeArrowheads="1"/>
        </xdr:cNvSpPr>
      </xdr:nvSpPr>
      <xdr:spPr bwMode="auto">
        <a:xfrm>
          <a:off x="3467100" y="419195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215</xdr:row>
      <xdr:rowOff>171450</xdr:rowOff>
    </xdr:from>
    <xdr:to>
      <xdr:col>3</xdr:col>
      <xdr:colOff>209550</xdr:colOff>
      <xdr:row>217</xdr:row>
      <xdr:rowOff>0</xdr:rowOff>
    </xdr:to>
    <xdr:sp macro="" textlink="">
      <xdr:nvSpPr>
        <xdr:cNvPr id="1031" name="AutoShape 7">
          <a:extLst>
            <a:ext uri="{FF2B5EF4-FFF2-40B4-BE49-F238E27FC236}">
              <a16:creationId xmlns:a16="http://schemas.microsoft.com/office/drawing/2014/main" id="{3D576422-0897-B3ED-13E6-65CA14DA8422}"/>
            </a:ext>
          </a:extLst>
        </xdr:cNvPr>
        <xdr:cNvSpPr>
          <a:spLocks noChangeAspect="1" noChangeArrowheads="1"/>
        </xdr:cNvSpPr>
      </xdr:nvSpPr>
      <xdr:spPr bwMode="auto">
        <a:xfrm>
          <a:off x="3467100" y="421481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216</xdr:row>
      <xdr:rowOff>200025</xdr:rowOff>
    </xdr:from>
    <xdr:to>
      <xdr:col>3</xdr:col>
      <xdr:colOff>209550</xdr:colOff>
      <xdr:row>218</xdr:row>
      <xdr:rowOff>19050</xdr:rowOff>
    </xdr:to>
    <xdr:sp macro="" textlink="">
      <xdr:nvSpPr>
        <xdr:cNvPr id="1032" name="AutoShape 8">
          <a:extLst>
            <a:ext uri="{FF2B5EF4-FFF2-40B4-BE49-F238E27FC236}">
              <a16:creationId xmlns:a16="http://schemas.microsoft.com/office/drawing/2014/main" id="{404E4B27-3F64-84F8-7C63-0C1124E19E7C}"/>
            </a:ext>
          </a:extLst>
        </xdr:cNvPr>
        <xdr:cNvSpPr>
          <a:spLocks noChangeAspect="1" noChangeArrowheads="1"/>
        </xdr:cNvSpPr>
      </xdr:nvSpPr>
      <xdr:spPr bwMode="auto">
        <a:xfrm>
          <a:off x="3467100" y="425481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217</xdr:row>
      <xdr:rowOff>228600</xdr:rowOff>
    </xdr:from>
    <xdr:to>
      <xdr:col>3</xdr:col>
      <xdr:colOff>209550</xdr:colOff>
      <xdr:row>219</xdr:row>
      <xdr:rowOff>19050</xdr:rowOff>
    </xdr:to>
    <xdr:sp macro="" textlink="">
      <xdr:nvSpPr>
        <xdr:cNvPr id="1033" name="AutoShape 9">
          <a:extLst>
            <a:ext uri="{FF2B5EF4-FFF2-40B4-BE49-F238E27FC236}">
              <a16:creationId xmlns:a16="http://schemas.microsoft.com/office/drawing/2014/main" id="{7E04D128-BF1A-21FB-6DEC-772A5E7D4E2F}"/>
            </a:ext>
          </a:extLst>
        </xdr:cNvPr>
        <xdr:cNvSpPr>
          <a:spLocks noChangeAspect="1" noChangeArrowheads="1"/>
        </xdr:cNvSpPr>
      </xdr:nvSpPr>
      <xdr:spPr bwMode="auto">
        <a:xfrm>
          <a:off x="3467100" y="429482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218</xdr:row>
      <xdr:rowOff>257175</xdr:rowOff>
    </xdr:from>
    <xdr:to>
      <xdr:col>3</xdr:col>
      <xdr:colOff>209550</xdr:colOff>
      <xdr:row>220</xdr:row>
      <xdr:rowOff>19050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988261AB-11AE-8FAF-D71D-F312E3D2440A}"/>
            </a:ext>
          </a:extLst>
        </xdr:cNvPr>
        <xdr:cNvSpPr>
          <a:spLocks noChangeAspect="1" noChangeArrowheads="1"/>
        </xdr:cNvSpPr>
      </xdr:nvSpPr>
      <xdr:spPr bwMode="auto">
        <a:xfrm>
          <a:off x="3467100" y="433482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219</xdr:row>
      <xdr:rowOff>285750</xdr:rowOff>
    </xdr:from>
    <xdr:to>
      <xdr:col>3</xdr:col>
      <xdr:colOff>209550</xdr:colOff>
      <xdr:row>221</xdr:row>
      <xdr:rowOff>19050</xdr:rowOff>
    </xdr:to>
    <xdr:sp macro="" textlink="">
      <xdr:nvSpPr>
        <xdr:cNvPr id="1035" name="AutoShape 11">
          <a:extLst>
            <a:ext uri="{FF2B5EF4-FFF2-40B4-BE49-F238E27FC236}">
              <a16:creationId xmlns:a16="http://schemas.microsoft.com/office/drawing/2014/main" id="{24A627CE-5CEB-236D-2493-C824323E9EC8}"/>
            </a:ext>
          </a:extLst>
        </xdr:cNvPr>
        <xdr:cNvSpPr>
          <a:spLocks noChangeAspect="1" noChangeArrowheads="1"/>
        </xdr:cNvSpPr>
      </xdr:nvSpPr>
      <xdr:spPr bwMode="auto">
        <a:xfrm>
          <a:off x="3467100" y="437483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220</xdr:row>
      <xdr:rowOff>314325</xdr:rowOff>
    </xdr:from>
    <xdr:to>
      <xdr:col>3</xdr:col>
      <xdr:colOff>209550</xdr:colOff>
      <xdr:row>222</xdr:row>
      <xdr:rowOff>19050</xdr:rowOff>
    </xdr:to>
    <xdr:sp macro="" textlink="">
      <xdr:nvSpPr>
        <xdr:cNvPr id="1036" name="AutoShape 12">
          <a:extLst>
            <a:ext uri="{FF2B5EF4-FFF2-40B4-BE49-F238E27FC236}">
              <a16:creationId xmlns:a16="http://schemas.microsoft.com/office/drawing/2014/main" id="{4133204D-870F-1EF4-01DE-CBF007D014A2}"/>
            </a:ext>
          </a:extLst>
        </xdr:cNvPr>
        <xdr:cNvSpPr>
          <a:spLocks noChangeAspect="1" noChangeArrowheads="1"/>
        </xdr:cNvSpPr>
      </xdr:nvSpPr>
      <xdr:spPr bwMode="auto">
        <a:xfrm>
          <a:off x="3467100" y="441483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221</xdr:row>
      <xdr:rowOff>342900</xdr:rowOff>
    </xdr:from>
    <xdr:to>
      <xdr:col>3</xdr:col>
      <xdr:colOff>209550</xdr:colOff>
      <xdr:row>223</xdr:row>
      <xdr:rowOff>19050</xdr:rowOff>
    </xdr:to>
    <xdr:sp macro="" textlink="">
      <xdr:nvSpPr>
        <xdr:cNvPr id="1037" name="AutoShape 13">
          <a:extLst>
            <a:ext uri="{FF2B5EF4-FFF2-40B4-BE49-F238E27FC236}">
              <a16:creationId xmlns:a16="http://schemas.microsoft.com/office/drawing/2014/main" id="{FA74B1B1-9375-E9D7-8B47-A7EFEE38C3EF}"/>
            </a:ext>
          </a:extLst>
        </xdr:cNvPr>
        <xdr:cNvSpPr>
          <a:spLocks noChangeAspect="1" noChangeArrowheads="1"/>
        </xdr:cNvSpPr>
      </xdr:nvSpPr>
      <xdr:spPr bwMode="auto">
        <a:xfrm>
          <a:off x="3467100" y="445484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223</xdr:row>
      <xdr:rowOff>0</xdr:rowOff>
    </xdr:from>
    <xdr:to>
      <xdr:col>3</xdr:col>
      <xdr:colOff>209550</xdr:colOff>
      <xdr:row>224</xdr:row>
      <xdr:rowOff>19050</xdr:rowOff>
    </xdr:to>
    <xdr:sp macro="" textlink="">
      <xdr:nvSpPr>
        <xdr:cNvPr id="1038" name="AutoShape 14">
          <a:extLst>
            <a:ext uri="{FF2B5EF4-FFF2-40B4-BE49-F238E27FC236}">
              <a16:creationId xmlns:a16="http://schemas.microsoft.com/office/drawing/2014/main" id="{DC8DE95A-E2EC-CBF8-2CF6-F6A2419B82D8}"/>
            </a:ext>
          </a:extLst>
        </xdr:cNvPr>
        <xdr:cNvSpPr>
          <a:spLocks noChangeAspect="1" noChangeArrowheads="1"/>
        </xdr:cNvSpPr>
      </xdr:nvSpPr>
      <xdr:spPr bwMode="auto">
        <a:xfrm>
          <a:off x="3467100" y="449484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224</xdr:row>
      <xdr:rowOff>28575</xdr:rowOff>
    </xdr:from>
    <xdr:to>
      <xdr:col>3</xdr:col>
      <xdr:colOff>209550</xdr:colOff>
      <xdr:row>225</xdr:row>
      <xdr:rowOff>47625</xdr:rowOff>
    </xdr:to>
    <xdr:sp macro="" textlink="">
      <xdr:nvSpPr>
        <xdr:cNvPr id="1039" name="AutoShape 15">
          <a:extLst>
            <a:ext uri="{FF2B5EF4-FFF2-40B4-BE49-F238E27FC236}">
              <a16:creationId xmlns:a16="http://schemas.microsoft.com/office/drawing/2014/main" id="{12C280F9-E537-08A3-D382-D0A040BB28AA}"/>
            </a:ext>
          </a:extLst>
        </xdr:cNvPr>
        <xdr:cNvSpPr>
          <a:spLocks noChangeAspect="1" noChangeArrowheads="1"/>
        </xdr:cNvSpPr>
      </xdr:nvSpPr>
      <xdr:spPr bwMode="auto">
        <a:xfrm>
          <a:off x="3467100" y="453485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225</xdr:row>
      <xdr:rowOff>57150</xdr:rowOff>
    </xdr:from>
    <xdr:to>
      <xdr:col>3</xdr:col>
      <xdr:colOff>209550</xdr:colOff>
      <xdr:row>226</xdr:row>
      <xdr:rowOff>76200</xdr:rowOff>
    </xdr:to>
    <xdr:sp macro="" textlink="">
      <xdr:nvSpPr>
        <xdr:cNvPr id="1040" name="AutoShape 16">
          <a:extLst>
            <a:ext uri="{FF2B5EF4-FFF2-40B4-BE49-F238E27FC236}">
              <a16:creationId xmlns:a16="http://schemas.microsoft.com/office/drawing/2014/main" id="{FDF14FA7-BC1A-FD97-DE1D-51F331B03491}"/>
            </a:ext>
          </a:extLst>
        </xdr:cNvPr>
        <xdr:cNvSpPr>
          <a:spLocks noChangeAspect="1" noChangeArrowheads="1"/>
        </xdr:cNvSpPr>
      </xdr:nvSpPr>
      <xdr:spPr bwMode="auto">
        <a:xfrm>
          <a:off x="3467100" y="457485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226</xdr:row>
      <xdr:rowOff>95250</xdr:rowOff>
    </xdr:from>
    <xdr:to>
      <xdr:col>3</xdr:col>
      <xdr:colOff>209550</xdr:colOff>
      <xdr:row>227</xdr:row>
      <xdr:rowOff>114300</xdr:rowOff>
    </xdr:to>
    <xdr:sp macro="" textlink="">
      <xdr:nvSpPr>
        <xdr:cNvPr id="1041" name="AutoShape 17">
          <a:extLst>
            <a:ext uri="{FF2B5EF4-FFF2-40B4-BE49-F238E27FC236}">
              <a16:creationId xmlns:a16="http://schemas.microsoft.com/office/drawing/2014/main" id="{8514F32E-E814-7ECD-B0D0-62BC8C2E5E4A}"/>
            </a:ext>
          </a:extLst>
        </xdr:cNvPr>
        <xdr:cNvSpPr>
          <a:spLocks noChangeAspect="1" noChangeArrowheads="1"/>
        </xdr:cNvSpPr>
      </xdr:nvSpPr>
      <xdr:spPr bwMode="auto">
        <a:xfrm>
          <a:off x="3467100" y="461486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209550</xdr:colOff>
      <xdr:row>4</xdr:row>
      <xdr:rowOff>19050</xdr:rowOff>
    </xdr:to>
    <xdr:sp macro="" textlink="">
      <xdr:nvSpPr>
        <xdr:cNvPr id="1042" name="AutoShape 18">
          <a:extLst>
            <a:ext uri="{FF2B5EF4-FFF2-40B4-BE49-F238E27FC236}">
              <a16:creationId xmlns:a16="http://schemas.microsoft.com/office/drawing/2014/main" id="{38E991D7-B571-6FF7-495B-3F0BD37975AA}"/>
            </a:ext>
          </a:extLst>
        </xdr:cNvPr>
        <xdr:cNvSpPr>
          <a:spLocks noChangeAspect="1" noChangeArrowheads="1"/>
        </xdr:cNvSpPr>
      </xdr:nvSpPr>
      <xdr:spPr bwMode="auto">
        <a:xfrm>
          <a:off x="3467100" y="6381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</xdr:row>
      <xdr:rowOff>28575</xdr:rowOff>
    </xdr:from>
    <xdr:to>
      <xdr:col>3</xdr:col>
      <xdr:colOff>209550</xdr:colOff>
      <xdr:row>5</xdr:row>
      <xdr:rowOff>47625</xdr:rowOff>
    </xdr:to>
    <xdr:sp macro="" textlink="">
      <xdr:nvSpPr>
        <xdr:cNvPr id="1043" name="AutoShape 19">
          <a:extLst>
            <a:ext uri="{FF2B5EF4-FFF2-40B4-BE49-F238E27FC236}">
              <a16:creationId xmlns:a16="http://schemas.microsoft.com/office/drawing/2014/main" id="{9F4486D8-CBAD-23A0-98B3-E55A401BF636}"/>
            </a:ext>
          </a:extLst>
        </xdr:cNvPr>
        <xdr:cNvSpPr>
          <a:spLocks noChangeAspect="1" noChangeArrowheads="1"/>
        </xdr:cNvSpPr>
      </xdr:nvSpPr>
      <xdr:spPr bwMode="auto">
        <a:xfrm>
          <a:off x="3467100" y="10382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5</xdr:row>
      <xdr:rowOff>57150</xdr:rowOff>
    </xdr:from>
    <xdr:to>
      <xdr:col>3</xdr:col>
      <xdr:colOff>209550</xdr:colOff>
      <xdr:row>6</xdr:row>
      <xdr:rowOff>76200</xdr:rowOff>
    </xdr:to>
    <xdr:sp macro="" textlink="">
      <xdr:nvSpPr>
        <xdr:cNvPr id="1044" name="AutoShape 20">
          <a:extLst>
            <a:ext uri="{FF2B5EF4-FFF2-40B4-BE49-F238E27FC236}">
              <a16:creationId xmlns:a16="http://schemas.microsoft.com/office/drawing/2014/main" id="{92C3330A-3C10-C18D-85E9-8922E65B1FCA}"/>
            </a:ext>
          </a:extLst>
        </xdr:cNvPr>
        <xdr:cNvSpPr>
          <a:spLocks noChangeAspect="1" noChangeArrowheads="1"/>
        </xdr:cNvSpPr>
      </xdr:nvSpPr>
      <xdr:spPr bwMode="auto">
        <a:xfrm>
          <a:off x="3467100" y="12668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6</xdr:row>
      <xdr:rowOff>85725</xdr:rowOff>
    </xdr:from>
    <xdr:to>
      <xdr:col>3</xdr:col>
      <xdr:colOff>209550</xdr:colOff>
      <xdr:row>7</xdr:row>
      <xdr:rowOff>104775</xdr:rowOff>
    </xdr:to>
    <xdr:sp macro="" textlink="">
      <xdr:nvSpPr>
        <xdr:cNvPr id="1045" name="AutoShape 21">
          <a:extLst>
            <a:ext uri="{FF2B5EF4-FFF2-40B4-BE49-F238E27FC236}">
              <a16:creationId xmlns:a16="http://schemas.microsoft.com/office/drawing/2014/main" id="{60277EED-036F-0BD2-1EE9-F37BF1F67A32}"/>
            </a:ext>
          </a:extLst>
        </xdr:cNvPr>
        <xdr:cNvSpPr>
          <a:spLocks noChangeAspect="1" noChangeArrowheads="1"/>
        </xdr:cNvSpPr>
      </xdr:nvSpPr>
      <xdr:spPr bwMode="auto">
        <a:xfrm>
          <a:off x="3467100" y="16668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</xdr:row>
      <xdr:rowOff>114300</xdr:rowOff>
    </xdr:from>
    <xdr:to>
      <xdr:col>3</xdr:col>
      <xdr:colOff>209550</xdr:colOff>
      <xdr:row>8</xdr:row>
      <xdr:rowOff>133350</xdr:rowOff>
    </xdr:to>
    <xdr:sp macro="" textlink="">
      <xdr:nvSpPr>
        <xdr:cNvPr id="1046" name="AutoShape 22">
          <a:extLst>
            <a:ext uri="{FF2B5EF4-FFF2-40B4-BE49-F238E27FC236}">
              <a16:creationId xmlns:a16="http://schemas.microsoft.com/office/drawing/2014/main" id="{4987AD2E-CA5B-1FA2-B44A-BA93827813CA}"/>
            </a:ext>
          </a:extLst>
        </xdr:cNvPr>
        <xdr:cNvSpPr>
          <a:spLocks noChangeAspect="1" noChangeArrowheads="1"/>
        </xdr:cNvSpPr>
      </xdr:nvSpPr>
      <xdr:spPr bwMode="auto">
        <a:xfrm>
          <a:off x="3467100" y="20669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</xdr:row>
      <xdr:rowOff>142875</xdr:rowOff>
    </xdr:from>
    <xdr:to>
      <xdr:col>3</xdr:col>
      <xdr:colOff>209550</xdr:colOff>
      <xdr:row>9</xdr:row>
      <xdr:rowOff>161925</xdr:rowOff>
    </xdr:to>
    <xdr:sp macro="" textlink="">
      <xdr:nvSpPr>
        <xdr:cNvPr id="1047" name="AutoShape 23">
          <a:extLst>
            <a:ext uri="{FF2B5EF4-FFF2-40B4-BE49-F238E27FC236}">
              <a16:creationId xmlns:a16="http://schemas.microsoft.com/office/drawing/2014/main" id="{C577F31C-48CE-7ABA-F2A6-78F683C6F16A}"/>
            </a:ext>
          </a:extLst>
        </xdr:cNvPr>
        <xdr:cNvSpPr>
          <a:spLocks noChangeAspect="1" noChangeArrowheads="1"/>
        </xdr:cNvSpPr>
      </xdr:nvSpPr>
      <xdr:spPr bwMode="auto">
        <a:xfrm>
          <a:off x="3467100" y="24669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171450</xdr:rowOff>
    </xdr:from>
    <xdr:to>
      <xdr:col>3</xdr:col>
      <xdr:colOff>209550</xdr:colOff>
      <xdr:row>11</xdr:row>
      <xdr:rowOff>0</xdr:rowOff>
    </xdr:to>
    <xdr:sp macro="" textlink="">
      <xdr:nvSpPr>
        <xdr:cNvPr id="1048" name="AutoShape 24">
          <a:extLst>
            <a:ext uri="{FF2B5EF4-FFF2-40B4-BE49-F238E27FC236}">
              <a16:creationId xmlns:a16="http://schemas.microsoft.com/office/drawing/2014/main" id="{E033884D-28BA-24F6-A7C1-DEDE8418F179}"/>
            </a:ext>
          </a:extLst>
        </xdr:cNvPr>
        <xdr:cNvSpPr>
          <a:spLocks noChangeAspect="1" noChangeArrowheads="1"/>
        </xdr:cNvSpPr>
      </xdr:nvSpPr>
      <xdr:spPr bwMode="auto">
        <a:xfrm>
          <a:off x="3467100" y="28670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200025</xdr:rowOff>
    </xdr:from>
    <xdr:to>
      <xdr:col>3</xdr:col>
      <xdr:colOff>209550</xdr:colOff>
      <xdr:row>12</xdr:row>
      <xdr:rowOff>19050</xdr:rowOff>
    </xdr:to>
    <xdr:sp macro="" textlink="">
      <xdr:nvSpPr>
        <xdr:cNvPr id="1049" name="AutoShape 25">
          <a:extLst>
            <a:ext uri="{FF2B5EF4-FFF2-40B4-BE49-F238E27FC236}">
              <a16:creationId xmlns:a16="http://schemas.microsoft.com/office/drawing/2014/main" id="{7C548977-1D53-B042-B20D-366A74B17929}"/>
            </a:ext>
          </a:extLst>
        </xdr:cNvPr>
        <xdr:cNvSpPr>
          <a:spLocks noChangeAspect="1" noChangeArrowheads="1"/>
        </xdr:cNvSpPr>
      </xdr:nvSpPr>
      <xdr:spPr bwMode="auto">
        <a:xfrm>
          <a:off x="3467100" y="30956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228600</xdr:rowOff>
    </xdr:from>
    <xdr:to>
      <xdr:col>3</xdr:col>
      <xdr:colOff>209550</xdr:colOff>
      <xdr:row>13</xdr:row>
      <xdr:rowOff>19050</xdr:rowOff>
    </xdr:to>
    <xdr:sp macro="" textlink="">
      <xdr:nvSpPr>
        <xdr:cNvPr id="1050" name="AutoShape 26">
          <a:extLst>
            <a:ext uri="{FF2B5EF4-FFF2-40B4-BE49-F238E27FC236}">
              <a16:creationId xmlns:a16="http://schemas.microsoft.com/office/drawing/2014/main" id="{461CAC59-5B5E-E4B8-9A24-371CC1D861C5}"/>
            </a:ext>
          </a:extLst>
        </xdr:cNvPr>
        <xdr:cNvSpPr>
          <a:spLocks noChangeAspect="1" noChangeArrowheads="1"/>
        </xdr:cNvSpPr>
      </xdr:nvSpPr>
      <xdr:spPr bwMode="auto">
        <a:xfrm>
          <a:off x="3467100" y="34956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257175</xdr:rowOff>
    </xdr:from>
    <xdr:to>
      <xdr:col>3</xdr:col>
      <xdr:colOff>209550</xdr:colOff>
      <xdr:row>14</xdr:row>
      <xdr:rowOff>19050</xdr:rowOff>
    </xdr:to>
    <xdr:sp macro="" textlink="">
      <xdr:nvSpPr>
        <xdr:cNvPr id="1051" name="AutoShape 27">
          <a:extLst>
            <a:ext uri="{FF2B5EF4-FFF2-40B4-BE49-F238E27FC236}">
              <a16:creationId xmlns:a16="http://schemas.microsoft.com/office/drawing/2014/main" id="{6D2A0B0A-47B2-0566-73EF-F6502D8182FF}"/>
            </a:ext>
          </a:extLst>
        </xdr:cNvPr>
        <xdr:cNvSpPr>
          <a:spLocks noChangeAspect="1" noChangeArrowheads="1"/>
        </xdr:cNvSpPr>
      </xdr:nvSpPr>
      <xdr:spPr bwMode="auto">
        <a:xfrm>
          <a:off x="3467100" y="38957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285750</xdr:rowOff>
    </xdr:from>
    <xdr:to>
      <xdr:col>3</xdr:col>
      <xdr:colOff>209550</xdr:colOff>
      <xdr:row>15</xdr:row>
      <xdr:rowOff>19050</xdr:rowOff>
    </xdr:to>
    <xdr:sp macro="" textlink="">
      <xdr:nvSpPr>
        <xdr:cNvPr id="1052" name="AutoShape 28">
          <a:extLst>
            <a:ext uri="{FF2B5EF4-FFF2-40B4-BE49-F238E27FC236}">
              <a16:creationId xmlns:a16="http://schemas.microsoft.com/office/drawing/2014/main" id="{CB656D62-83DA-1D90-608D-BCE7909962F7}"/>
            </a:ext>
          </a:extLst>
        </xdr:cNvPr>
        <xdr:cNvSpPr>
          <a:spLocks noChangeAspect="1" noChangeArrowheads="1"/>
        </xdr:cNvSpPr>
      </xdr:nvSpPr>
      <xdr:spPr bwMode="auto">
        <a:xfrm>
          <a:off x="3467100" y="42957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</xdr:row>
      <xdr:rowOff>114300</xdr:rowOff>
    </xdr:from>
    <xdr:to>
      <xdr:col>3</xdr:col>
      <xdr:colOff>209550</xdr:colOff>
      <xdr:row>16</xdr:row>
      <xdr:rowOff>133350</xdr:rowOff>
    </xdr:to>
    <xdr:sp macro="" textlink="">
      <xdr:nvSpPr>
        <xdr:cNvPr id="1053" name="AutoShape 29">
          <a:extLst>
            <a:ext uri="{FF2B5EF4-FFF2-40B4-BE49-F238E27FC236}">
              <a16:creationId xmlns:a16="http://schemas.microsoft.com/office/drawing/2014/main" id="{CE95E7B4-AF95-1FA1-1876-00AB07E185E3}"/>
            </a:ext>
          </a:extLst>
        </xdr:cNvPr>
        <xdr:cNvSpPr>
          <a:spLocks noChangeAspect="1" noChangeArrowheads="1"/>
        </xdr:cNvSpPr>
      </xdr:nvSpPr>
      <xdr:spPr bwMode="auto">
        <a:xfrm>
          <a:off x="3467100" y="46958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</xdr:row>
      <xdr:rowOff>342900</xdr:rowOff>
    </xdr:from>
    <xdr:to>
      <xdr:col>3</xdr:col>
      <xdr:colOff>209550</xdr:colOff>
      <xdr:row>17</xdr:row>
      <xdr:rowOff>19050</xdr:rowOff>
    </xdr:to>
    <xdr:sp macro="" textlink="">
      <xdr:nvSpPr>
        <xdr:cNvPr id="1054" name="AutoShape 30">
          <a:extLst>
            <a:ext uri="{FF2B5EF4-FFF2-40B4-BE49-F238E27FC236}">
              <a16:creationId xmlns:a16="http://schemas.microsoft.com/office/drawing/2014/main" id="{6437411D-6008-186F-30EF-8041E69BD71E}"/>
            </a:ext>
          </a:extLst>
        </xdr:cNvPr>
        <xdr:cNvSpPr>
          <a:spLocks noChangeAspect="1" noChangeArrowheads="1"/>
        </xdr:cNvSpPr>
      </xdr:nvSpPr>
      <xdr:spPr bwMode="auto">
        <a:xfrm>
          <a:off x="3467100" y="49244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209550</xdr:colOff>
      <xdr:row>18</xdr:row>
      <xdr:rowOff>19050</xdr:rowOff>
    </xdr:to>
    <xdr:sp macro="" textlink="">
      <xdr:nvSpPr>
        <xdr:cNvPr id="1055" name="AutoShape 31">
          <a:extLst>
            <a:ext uri="{FF2B5EF4-FFF2-40B4-BE49-F238E27FC236}">
              <a16:creationId xmlns:a16="http://schemas.microsoft.com/office/drawing/2014/main" id="{8149F029-CB46-D3B2-664F-E4BB1DDE260E}"/>
            </a:ext>
          </a:extLst>
        </xdr:cNvPr>
        <xdr:cNvSpPr>
          <a:spLocks noChangeAspect="1" noChangeArrowheads="1"/>
        </xdr:cNvSpPr>
      </xdr:nvSpPr>
      <xdr:spPr bwMode="auto">
        <a:xfrm>
          <a:off x="3467100" y="53244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</xdr:row>
      <xdr:rowOff>200025</xdr:rowOff>
    </xdr:from>
    <xdr:to>
      <xdr:col>3</xdr:col>
      <xdr:colOff>209550</xdr:colOff>
      <xdr:row>20</xdr:row>
      <xdr:rowOff>19050</xdr:rowOff>
    </xdr:to>
    <xdr:sp macro="" textlink="">
      <xdr:nvSpPr>
        <xdr:cNvPr id="1056" name="AutoShape 32">
          <a:extLst>
            <a:ext uri="{FF2B5EF4-FFF2-40B4-BE49-F238E27FC236}">
              <a16:creationId xmlns:a16="http://schemas.microsoft.com/office/drawing/2014/main" id="{7C02B480-E112-6050-59A1-590663DD1A16}"/>
            </a:ext>
          </a:extLst>
        </xdr:cNvPr>
        <xdr:cNvSpPr>
          <a:spLocks noChangeAspect="1" noChangeArrowheads="1"/>
        </xdr:cNvSpPr>
      </xdr:nvSpPr>
      <xdr:spPr bwMode="auto">
        <a:xfrm>
          <a:off x="3467100" y="57245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57150</xdr:rowOff>
    </xdr:from>
    <xdr:to>
      <xdr:col>3</xdr:col>
      <xdr:colOff>209550</xdr:colOff>
      <xdr:row>20</xdr:row>
      <xdr:rowOff>76200</xdr:rowOff>
    </xdr:to>
    <xdr:sp macro="" textlink="">
      <xdr:nvSpPr>
        <xdr:cNvPr id="1057" name="AutoShape 33">
          <a:extLst>
            <a:ext uri="{FF2B5EF4-FFF2-40B4-BE49-F238E27FC236}">
              <a16:creationId xmlns:a16="http://schemas.microsoft.com/office/drawing/2014/main" id="{84787B91-C192-77FE-90EE-CFF8BF60A23A}"/>
            </a:ext>
          </a:extLst>
        </xdr:cNvPr>
        <xdr:cNvSpPr>
          <a:spLocks noChangeAspect="1" noChangeArrowheads="1"/>
        </xdr:cNvSpPr>
      </xdr:nvSpPr>
      <xdr:spPr bwMode="auto">
        <a:xfrm>
          <a:off x="3467100" y="59531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20</xdr:row>
      <xdr:rowOff>85725</xdr:rowOff>
    </xdr:from>
    <xdr:to>
      <xdr:col>3</xdr:col>
      <xdr:colOff>209550</xdr:colOff>
      <xdr:row>21</xdr:row>
      <xdr:rowOff>104775</xdr:rowOff>
    </xdr:to>
    <xdr:sp macro="" textlink="">
      <xdr:nvSpPr>
        <xdr:cNvPr id="1058" name="AutoShape 34">
          <a:extLst>
            <a:ext uri="{FF2B5EF4-FFF2-40B4-BE49-F238E27FC236}">
              <a16:creationId xmlns:a16="http://schemas.microsoft.com/office/drawing/2014/main" id="{A3028B89-5D8C-BD38-E84F-4365F10E479F}"/>
            </a:ext>
          </a:extLst>
        </xdr:cNvPr>
        <xdr:cNvSpPr>
          <a:spLocks noChangeAspect="1" noChangeArrowheads="1"/>
        </xdr:cNvSpPr>
      </xdr:nvSpPr>
      <xdr:spPr bwMode="auto">
        <a:xfrm>
          <a:off x="3467100" y="63531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21</xdr:row>
      <xdr:rowOff>114300</xdr:rowOff>
    </xdr:from>
    <xdr:to>
      <xdr:col>3</xdr:col>
      <xdr:colOff>209550</xdr:colOff>
      <xdr:row>22</xdr:row>
      <xdr:rowOff>133350</xdr:rowOff>
    </xdr:to>
    <xdr:sp macro="" textlink="">
      <xdr:nvSpPr>
        <xdr:cNvPr id="1059" name="AutoShape 35">
          <a:extLst>
            <a:ext uri="{FF2B5EF4-FFF2-40B4-BE49-F238E27FC236}">
              <a16:creationId xmlns:a16="http://schemas.microsoft.com/office/drawing/2014/main" id="{7EF8C797-4B55-381F-8B80-6840E90A0F8D}"/>
            </a:ext>
          </a:extLst>
        </xdr:cNvPr>
        <xdr:cNvSpPr>
          <a:spLocks noChangeAspect="1" noChangeArrowheads="1"/>
        </xdr:cNvSpPr>
      </xdr:nvSpPr>
      <xdr:spPr bwMode="auto">
        <a:xfrm>
          <a:off x="3467100" y="67532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22</xdr:row>
      <xdr:rowOff>142875</xdr:rowOff>
    </xdr:from>
    <xdr:to>
      <xdr:col>3</xdr:col>
      <xdr:colOff>209550</xdr:colOff>
      <xdr:row>23</xdr:row>
      <xdr:rowOff>161925</xdr:rowOff>
    </xdr:to>
    <xdr:sp macro="" textlink="">
      <xdr:nvSpPr>
        <xdr:cNvPr id="1060" name="AutoShape 36">
          <a:extLst>
            <a:ext uri="{FF2B5EF4-FFF2-40B4-BE49-F238E27FC236}">
              <a16:creationId xmlns:a16="http://schemas.microsoft.com/office/drawing/2014/main" id="{E246C55E-1983-94DC-3760-749A407A227F}"/>
            </a:ext>
          </a:extLst>
        </xdr:cNvPr>
        <xdr:cNvSpPr>
          <a:spLocks noChangeAspect="1" noChangeArrowheads="1"/>
        </xdr:cNvSpPr>
      </xdr:nvSpPr>
      <xdr:spPr bwMode="auto">
        <a:xfrm>
          <a:off x="3467100" y="71532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23</xdr:row>
      <xdr:rowOff>342900</xdr:rowOff>
    </xdr:from>
    <xdr:to>
      <xdr:col>3</xdr:col>
      <xdr:colOff>209550</xdr:colOff>
      <xdr:row>25</xdr:row>
      <xdr:rowOff>19050</xdr:rowOff>
    </xdr:to>
    <xdr:sp macro="" textlink="">
      <xdr:nvSpPr>
        <xdr:cNvPr id="1061" name="AutoShape 37">
          <a:extLst>
            <a:ext uri="{FF2B5EF4-FFF2-40B4-BE49-F238E27FC236}">
              <a16:creationId xmlns:a16="http://schemas.microsoft.com/office/drawing/2014/main" id="{531893B3-AB3C-AA80-885E-C7D14520674F}"/>
            </a:ext>
          </a:extLst>
        </xdr:cNvPr>
        <xdr:cNvSpPr>
          <a:spLocks noChangeAspect="1" noChangeArrowheads="1"/>
        </xdr:cNvSpPr>
      </xdr:nvSpPr>
      <xdr:spPr bwMode="auto">
        <a:xfrm>
          <a:off x="3467100" y="75533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24</xdr:row>
      <xdr:rowOff>200025</xdr:rowOff>
    </xdr:from>
    <xdr:to>
      <xdr:col>3</xdr:col>
      <xdr:colOff>209550</xdr:colOff>
      <xdr:row>26</xdr:row>
      <xdr:rowOff>19050</xdr:rowOff>
    </xdr:to>
    <xdr:sp macro="" textlink="">
      <xdr:nvSpPr>
        <xdr:cNvPr id="1062" name="AutoShape 38">
          <a:extLst>
            <a:ext uri="{FF2B5EF4-FFF2-40B4-BE49-F238E27FC236}">
              <a16:creationId xmlns:a16="http://schemas.microsoft.com/office/drawing/2014/main" id="{38B33976-3DA5-F4B7-CE6A-AAC8AE3B3008}"/>
            </a:ext>
          </a:extLst>
        </xdr:cNvPr>
        <xdr:cNvSpPr>
          <a:spLocks noChangeAspect="1" noChangeArrowheads="1"/>
        </xdr:cNvSpPr>
      </xdr:nvSpPr>
      <xdr:spPr bwMode="auto">
        <a:xfrm>
          <a:off x="3467100" y="77819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25</xdr:row>
      <xdr:rowOff>228600</xdr:rowOff>
    </xdr:from>
    <xdr:to>
      <xdr:col>3</xdr:col>
      <xdr:colOff>209550</xdr:colOff>
      <xdr:row>27</xdr:row>
      <xdr:rowOff>19050</xdr:rowOff>
    </xdr:to>
    <xdr:sp macro="" textlink="">
      <xdr:nvSpPr>
        <xdr:cNvPr id="1063" name="AutoShape 39">
          <a:extLst>
            <a:ext uri="{FF2B5EF4-FFF2-40B4-BE49-F238E27FC236}">
              <a16:creationId xmlns:a16="http://schemas.microsoft.com/office/drawing/2014/main" id="{2FF33EB9-004B-F253-6EE8-ED84881764EF}"/>
            </a:ext>
          </a:extLst>
        </xdr:cNvPr>
        <xdr:cNvSpPr>
          <a:spLocks noChangeAspect="1" noChangeArrowheads="1"/>
        </xdr:cNvSpPr>
      </xdr:nvSpPr>
      <xdr:spPr bwMode="auto">
        <a:xfrm>
          <a:off x="3467100" y="81819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26</xdr:row>
      <xdr:rowOff>257175</xdr:rowOff>
    </xdr:from>
    <xdr:to>
      <xdr:col>3</xdr:col>
      <xdr:colOff>209550</xdr:colOff>
      <xdr:row>28</xdr:row>
      <xdr:rowOff>19050</xdr:rowOff>
    </xdr:to>
    <xdr:sp macro="" textlink="">
      <xdr:nvSpPr>
        <xdr:cNvPr id="1064" name="AutoShape 40">
          <a:extLst>
            <a:ext uri="{FF2B5EF4-FFF2-40B4-BE49-F238E27FC236}">
              <a16:creationId xmlns:a16="http://schemas.microsoft.com/office/drawing/2014/main" id="{758EBB3E-E255-3417-40E9-FF2246A10890}"/>
            </a:ext>
          </a:extLst>
        </xdr:cNvPr>
        <xdr:cNvSpPr>
          <a:spLocks noChangeAspect="1" noChangeArrowheads="1"/>
        </xdr:cNvSpPr>
      </xdr:nvSpPr>
      <xdr:spPr bwMode="auto">
        <a:xfrm>
          <a:off x="3467100" y="85820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27</xdr:row>
      <xdr:rowOff>285750</xdr:rowOff>
    </xdr:from>
    <xdr:to>
      <xdr:col>3</xdr:col>
      <xdr:colOff>209550</xdr:colOff>
      <xdr:row>29</xdr:row>
      <xdr:rowOff>19050</xdr:rowOff>
    </xdr:to>
    <xdr:sp macro="" textlink="">
      <xdr:nvSpPr>
        <xdr:cNvPr id="1065" name="AutoShape 41">
          <a:extLst>
            <a:ext uri="{FF2B5EF4-FFF2-40B4-BE49-F238E27FC236}">
              <a16:creationId xmlns:a16="http://schemas.microsoft.com/office/drawing/2014/main" id="{87A7F914-BF3D-E40D-032C-BF10FB96840C}"/>
            </a:ext>
          </a:extLst>
        </xdr:cNvPr>
        <xdr:cNvSpPr>
          <a:spLocks noChangeAspect="1" noChangeArrowheads="1"/>
        </xdr:cNvSpPr>
      </xdr:nvSpPr>
      <xdr:spPr bwMode="auto">
        <a:xfrm>
          <a:off x="3467100" y="89820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29</xdr:row>
      <xdr:rowOff>114300</xdr:rowOff>
    </xdr:from>
    <xdr:to>
      <xdr:col>3</xdr:col>
      <xdr:colOff>209550</xdr:colOff>
      <xdr:row>30</xdr:row>
      <xdr:rowOff>133350</xdr:rowOff>
    </xdr:to>
    <xdr:sp macro="" textlink="">
      <xdr:nvSpPr>
        <xdr:cNvPr id="1066" name="AutoShape 42">
          <a:extLst>
            <a:ext uri="{FF2B5EF4-FFF2-40B4-BE49-F238E27FC236}">
              <a16:creationId xmlns:a16="http://schemas.microsoft.com/office/drawing/2014/main" id="{522E6DFA-592F-38CC-5BA9-546A3F5A8D61}"/>
            </a:ext>
          </a:extLst>
        </xdr:cNvPr>
        <xdr:cNvSpPr>
          <a:spLocks noChangeAspect="1" noChangeArrowheads="1"/>
        </xdr:cNvSpPr>
      </xdr:nvSpPr>
      <xdr:spPr bwMode="auto">
        <a:xfrm>
          <a:off x="3467100" y="93821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31</xdr:row>
      <xdr:rowOff>114300</xdr:rowOff>
    </xdr:from>
    <xdr:to>
      <xdr:col>3</xdr:col>
      <xdr:colOff>209550</xdr:colOff>
      <xdr:row>32</xdr:row>
      <xdr:rowOff>133350</xdr:rowOff>
    </xdr:to>
    <xdr:sp macro="" textlink="">
      <xdr:nvSpPr>
        <xdr:cNvPr id="1067" name="AutoShape 43">
          <a:extLst>
            <a:ext uri="{FF2B5EF4-FFF2-40B4-BE49-F238E27FC236}">
              <a16:creationId xmlns:a16="http://schemas.microsoft.com/office/drawing/2014/main" id="{4F90FE55-27DB-38B9-25F1-64D94F990E3D}"/>
            </a:ext>
          </a:extLst>
        </xdr:cNvPr>
        <xdr:cNvSpPr>
          <a:spLocks noChangeAspect="1" noChangeArrowheads="1"/>
        </xdr:cNvSpPr>
      </xdr:nvSpPr>
      <xdr:spPr bwMode="auto">
        <a:xfrm>
          <a:off x="3467100" y="97821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32</xdr:row>
      <xdr:rowOff>142875</xdr:rowOff>
    </xdr:from>
    <xdr:to>
      <xdr:col>3</xdr:col>
      <xdr:colOff>209550</xdr:colOff>
      <xdr:row>33</xdr:row>
      <xdr:rowOff>161925</xdr:rowOff>
    </xdr:to>
    <xdr:sp macro="" textlink="">
      <xdr:nvSpPr>
        <xdr:cNvPr id="1068" name="AutoShape 44">
          <a:extLst>
            <a:ext uri="{FF2B5EF4-FFF2-40B4-BE49-F238E27FC236}">
              <a16:creationId xmlns:a16="http://schemas.microsoft.com/office/drawing/2014/main" id="{A8261362-8712-5C8E-E5C0-58682BAFA634}"/>
            </a:ext>
          </a:extLst>
        </xdr:cNvPr>
        <xdr:cNvSpPr>
          <a:spLocks noChangeAspect="1" noChangeArrowheads="1"/>
        </xdr:cNvSpPr>
      </xdr:nvSpPr>
      <xdr:spPr bwMode="auto">
        <a:xfrm>
          <a:off x="3467100" y="100107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209550</xdr:colOff>
      <xdr:row>34</xdr:row>
      <xdr:rowOff>19050</xdr:rowOff>
    </xdr:to>
    <xdr:sp macro="" textlink="">
      <xdr:nvSpPr>
        <xdr:cNvPr id="1069" name="AutoShape 45">
          <a:extLst>
            <a:ext uri="{FF2B5EF4-FFF2-40B4-BE49-F238E27FC236}">
              <a16:creationId xmlns:a16="http://schemas.microsoft.com/office/drawing/2014/main" id="{BB3364C4-C3AF-135E-CF2D-371CDF4F2442}"/>
            </a:ext>
          </a:extLst>
        </xdr:cNvPr>
        <xdr:cNvSpPr>
          <a:spLocks noChangeAspect="1" noChangeArrowheads="1"/>
        </xdr:cNvSpPr>
      </xdr:nvSpPr>
      <xdr:spPr bwMode="auto">
        <a:xfrm>
          <a:off x="3467100" y="102393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34</xdr:row>
      <xdr:rowOff>28575</xdr:rowOff>
    </xdr:from>
    <xdr:to>
      <xdr:col>3</xdr:col>
      <xdr:colOff>209550</xdr:colOff>
      <xdr:row>35</xdr:row>
      <xdr:rowOff>47625</xdr:rowOff>
    </xdr:to>
    <xdr:sp macro="" textlink="">
      <xdr:nvSpPr>
        <xdr:cNvPr id="1070" name="AutoShape 46">
          <a:extLst>
            <a:ext uri="{FF2B5EF4-FFF2-40B4-BE49-F238E27FC236}">
              <a16:creationId xmlns:a16="http://schemas.microsoft.com/office/drawing/2014/main" id="{EAAB0552-6F0D-4B65-7626-2A674B2FD7E8}"/>
            </a:ext>
          </a:extLst>
        </xdr:cNvPr>
        <xdr:cNvSpPr>
          <a:spLocks noChangeAspect="1" noChangeArrowheads="1"/>
        </xdr:cNvSpPr>
      </xdr:nvSpPr>
      <xdr:spPr bwMode="auto">
        <a:xfrm>
          <a:off x="3467100" y="104679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35</xdr:row>
      <xdr:rowOff>57150</xdr:rowOff>
    </xdr:from>
    <xdr:to>
      <xdr:col>3</xdr:col>
      <xdr:colOff>209550</xdr:colOff>
      <xdr:row>36</xdr:row>
      <xdr:rowOff>76200</xdr:rowOff>
    </xdr:to>
    <xdr:sp macro="" textlink="">
      <xdr:nvSpPr>
        <xdr:cNvPr id="1071" name="AutoShape 47">
          <a:extLst>
            <a:ext uri="{FF2B5EF4-FFF2-40B4-BE49-F238E27FC236}">
              <a16:creationId xmlns:a16="http://schemas.microsoft.com/office/drawing/2014/main" id="{1123CF4D-F3B0-676D-70BB-4BE682E612BD}"/>
            </a:ext>
          </a:extLst>
        </xdr:cNvPr>
        <xdr:cNvSpPr>
          <a:spLocks noChangeAspect="1" noChangeArrowheads="1"/>
        </xdr:cNvSpPr>
      </xdr:nvSpPr>
      <xdr:spPr bwMode="auto">
        <a:xfrm>
          <a:off x="3467100" y="106965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36</xdr:row>
      <xdr:rowOff>257175</xdr:rowOff>
    </xdr:from>
    <xdr:to>
      <xdr:col>3</xdr:col>
      <xdr:colOff>209550</xdr:colOff>
      <xdr:row>38</xdr:row>
      <xdr:rowOff>19050</xdr:rowOff>
    </xdr:to>
    <xdr:sp macro="" textlink="">
      <xdr:nvSpPr>
        <xdr:cNvPr id="1072" name="AutoShape 48">
          <a:extLst>
            <a:ext uri="{FF2B5EF4-FFF2-40B4-BE49-F238E27FC236}">
              <a16:creationId xmlns:a16="http://schemas.microsoft.com/office/drawing/2014/main" id="{6DF05DC9-F8B4-00EE-E6E0-4BCF53D413E3}"/>
            </a:ext>
          </a:extLst>
        </xdr:cNvPr>
        <xdr:cNvSpPr>
          <a:spLocks noChangeAspect="1" noChangeArrowheads="1"/>
        </xdr:cNvSpPr>
      </xdr:nvSpPr>
      <xdr:spPr bwMode="auto">
        <a:xfrm>
          <a:off x="3467100" y="110966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37</xdr:row>
      <xdr:rowOff>114300</xdr:rowOff>
    </xdr:from>
    <xdr:to>
      <xdr:col>3</xdr:col>
      <xdr:colOff>209550</xdr:colOff>
      <xdr:row>38</xdr:row>
      <xdr:rowOff>133350</xdr:rowOff>
    </xdr:to>
    <xdr:sp macro="" textlink="">
      <xdr:nvSpPr>
        <xdr:cNvPr id="1073" name="AutoShape 49">
          <a:extLst>
            <a:ext uri="{FF2B5EF4-FFF2-40B4-BE49-F238E27FC236}">
              <a16:creationId xmlns:a16="http://schemas.microsoft.com/office/drawing/2014/main" id="{692C9622-3136-9095-2DAA-78FB9A0A44D1}"/>
            </a:ext>
          </a:extLst>
        </xdr:cNvPr>
        <xdr:cNvSpPr>
          <a:spLocks noChangeAspect="1" noChangeArrowheads="1"/>
        </xdr:cNvSpPr>
      </xdr:nvSpPr>
      <xdr:spPr bwMode="auto">
        <a:xfrm>
          <a:off x="3467100" y="113252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37</xdr:row>
      <xdr:rowOff>342900</xdr:rowOff>
    </xdr:from>
    <xdr:to>
      <xdr:col>3</xdr:col>
      <xdr:colOff>209550</xdr:colOff>
      <xdr:row>39</xdr:row>
      <xdr:rowOff>19050</xdr:rowOff>
    </xdr:to>
    <xdr:sp macro="" textlink="">
      <xdr:nvSpPr>
        <xdr:cNvPr id="1074" name="AutoShape 50">
          <a:extLst>
            <a:ext uri="{FF2B5EF4-FFF2-40B4-BE49-F238E27FC236}">
              <a16:creationId xmlns:a16="http://schemas.microsoft.com/office/drawing/2014/main" id="{2314FC6D-B6DE-F092-8F2F-13A323EF4BEA}"/>
            </a:ext>
          </a:extLst>
        </xdr:cNvPr>
        <xdr:cNvSpPr>
          <a:spLocks noChangeAspect="1" noChangeArrowheads="1"/>
        </xdr:cNvSpPr>
      </xdr:nvSpPr>
      <xdr:spPr bwMode="auto">
        <a:xfrm>
          <a:off x="3467100" y="115538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38</xdr:row>
      <xdr:rowOff>200025</xdr:rowOff>
    </xdr:from>
    <xdr:to>
      <xdr:col>3</xdr:col>
      <xdr:colOff>209550</xdr:colOff>
      <xdr:row>40</xdr:row>
      <xdr:rowOff>19050</xdr:rowOff>
    </xdr:to>
    <xdr:sp macro="" textlink="">
      <xdr:nvSpPr>
        <xdr:cNvPr id="1075" name="AutoShape 51">
          <a:extLst>
            <a:ext uri="{FF2B5EF4-FFF2-40B4-BE49-F238E27FC236}">
              <a16:creationId xmlns:a16="http://schemas.microsoft.com/office/drawing/2014/main" id="{1427C108-F1CE-AA69-F377-1AD282798ECE}"/>
            </a:ext>
          </a:extLst>
        </xdr:cNvPr>
        <xdr:cNvSpPr>
          <a:spLocks noChangeAspect="1" noChangeArrowheads="1"/>
        </xdr:cNvSpPr>
      </xdr:nvSpPr>
      <xdr:spPr bwMode="auto">
        <a:xfrm>
          <a:off x="3467100" y="117824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39</xdr:row>
      <xdr:rowOff>228600</xdr:rowOff>
    </xdr:from>
    <xdr:to>
      <xdr:col>3</xdr:col>
      <xdr:colOff>209550</xdr:colOff>
      <xdr:row>41</xdr:row>
      <xdr:rowOff>19050</xdr:rowOff>
    </xdr:to>
    <xdr:sp macro="" textlink="">
      <xdr:nvSpPr>
        <xdr:cNvPr id="1076" name="AutoShape 52">
          <a:extLst>
            <a:ext uri="{FF2B5EF4-FFF2-40B4-BE49-F238E27FC236}">
              <a16:creationId xmlns:a16="http://schemas.microsoft.com/office/drawing/2014/main" id="{40B166CD-7092-7CB2-F02D-DFBADD1A2B49}"/>
            </a:ext>
          </a:extLst>
        </xdr:cNvPr>
        <xdr:cNvSpPr>
          <a:spLocks noChangeAspect="1" noChangeArrowheads="1"/>
        </xdr:cNvSpPr>
      </xdr:nvSpPr>
      <xdr:spPr bwMode="auto">
        <a:xfrm>
          <a:off x="3467100" y="121824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40</xdr:row>
      <xdr:rowOff>257175</xdr:rowOff>
    </xdr:from>
    <xdr:to>
      <xdr:col>3</xdr:col>
      <xdr:colOff>209550</xdr:colOff>
      <xdr:row>42</xdr:row>
      <xdr:rowOff>19050</xdr:rowOff>
    </xdr:to>
    <xdr:sp macro="" textlink="">
      <xdr:nvSpPr>
        <xdr:cNvPr id="1077" name="AutoShape 53">
          <a:extLst>
            <a:ext uri="{FF2B5EF4-FFF2-40B4-BE49-F238E27FC236}">
              <a16:creationId xmlns:a16="http://schemas.microsoft.com/office/drawing/2014/main" id="{8C30FAB9-319F-EED3-C187-7EFB2770C676}"/>
            </a:ext>
          </a:extLst>
        </xdr:cNvPr>
        <xdr:cNvSpPr>
          <a:spLocks noChangeAspect="1" noChangeArrowheads="1"/>
        </xdr:cNvSpPr>
      </xdr:nvSpPr>
      <xdr:spPr bwMode="auto">
        <a:xfrm>
          <a:off x="3467100" y="125825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41</xdr:row>
      <xdr:rowOff>285750</xdr:rowOff>
    </xdr:from>
    <xdr:to>
      <xdr:col>3</xdr:col>
      <xdr:colOff>209550</xdr:colOff>
      <xdr:row>43</xdr:row>
      <xdr:rowOff>19050</xdr:rowOff>
    </xdr:to>
    <xdr:sp macro="" textlink="">
      <xdr:nvSpPr>
        <xdr:cNvPr id="1078" name="AutoShape 54">
          <a:extLst>
            <a:ext uri="{FF2B5EF4-FFF2-40B4-BE49-F238E27FC236}">
              <a16:creationId xmlns:a16="http://schemas.microsoft.com/office/drawing/2014/main" id="{B54E1E2A-6C20-71F0-E1D9-3E8DE26E9530}"/>
            </a:ext>
          </a:extLst>
        </xdr:cNvPr>
        <xdr:cNvSpPr>
          <a:spLocks noChangeAspect="1" noChangeArrowheads="1"/>
        </xdr:cNvSpPr>
      </xdr:nvSpPr>
      <xdr:spPr bwMode="auto">
        <a:xfrm>
          <a:off x="3467100" y="129825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42</xdr:row>
      <xdr:rowOff>314325</xdr:rowOff>
    </xdr:from>
    <xdr:to>
      <xdr:col>3</xdr:col>
      <xdr:colOff>209550</xdr:colOff>
      <xdr:row>44</xdr:row>
      <xdr:rowOff>19050</xdr:rowOff>
    </xdr:to>
    <xdr:sp macro="" textlink="">
      <xdr:nvSpPr>
        <xdr:cNvPr id="1079" name="AutoShape 55">
          <a:extLst>
            <a:ext uri="{FF2B5EF4-FFF2-40B4-BE49-F238E27FC236}">
              <a16:creationId xmlns:a16="http://schemas.microsoft.com/office/drawing/2014/main" id="{E1FC97FC-6A7F-A8A0-7B26-37AA7CB63C36}"/>
            </a:ext>
          </a:extLst>
        </xdr:cNvPr>
        <xdr:cNvSpPr>
          <a:spLocks noChangeAspect="1" noChangeArrowheads="1"/>
        </xdr:cNvSpPr>
      </xdr:nvSpPr>
      <xdr:spPr bwMode="auto">
        <a:xfrm>
          <a:off x="3467100" y="133826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43</xdr:row>
      <xdr:rowOff>342900</xdr:rowOff>
    </xdr:from>
    <xdr:to>
      <xdr:col>3</xdr:col>
      <xdr:colOff>209550</xdr:colOff>
      <xdr:row>45</xdr:row>
      <xdr:rowOff>19050</xdr:rowOff>
    </xdr:to>
    <xdr:sp macro="" textlink="">
      <xdr:nvSpPr>
        <xdr:cNvPr id="1080" name="AutoShape 56">
          <a:extLst>
            <a:ext uri="{FF2B5EF4-FFF2-40B4-BE49-F238E27FC236}">
              <a16:creationId xmlns:a16="http://schemas.microsoft.com/office/drawing/2014/main" id="{3EB5F67F-62D7-E791-C837-4CD3D2513A93}"/>
            </a:ext>
          </a:extLst>
        </xdr:cNvPr>
        <xdr:cNvSpPr>
          <a:spLocks noChangeAspect="1" noChangeArrowheads="1"/>
        </xdr:cNvSpPr>
      </xdr:nvSpPr>
      <xdr:spPr bwMode="auto">
        <a:xfrm>
          <a:off x="3467100" y="137826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209550</xdr:colOff>
      <xdr:row>46</xdr:row>
      <xdr:rowOff>19050</xdr:rowOff>
    </xdr:to>
    <xdr:sp macro="" textlink="">
      <xdr:nvSpPr>
        <xdr:cNvPr id="1081" name="AutoShape 57">
          <a:extLst>
            <a:ext uri="{FF2B5EF4-FFF2-40B4-BE49-F238E27FC236}">
              <a16:creationId xmlns:a16="http://schemas.microsoft.com/office/drawing/2014/main" id="{26524AC0-3463-D939-5D4C-EDDD61C37F08}"/>
            </a:ext>
          </a:extLst>
        </xdr:cNvPr>
        <xdr:cNvSpPr>
          <a:spLocks noChangeAspect="1" noChangeArrowheads="1"/>
        </xdr:cNvSpPr>
      </xdr:nvSpPr>
      <xdr:spPr bwMode="auto">
        <a:xfrm>
          <a:off x="3467100" y="141827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46</xdr:row>
      <xdr:rowOff>38100</xdr:rowOff>
    </xdr:from>
    <xdr:to>
      <xdr:col>3</xdr:col>
      <xdr:colOff>209550</xdr:colOff>
      <xdr:row>47</xdr:row>
      <xdr:rowOff>57150</xdr:rowOff>
    </xdr:to>
    <xdr:sp macro="" textlink="">
      <xdr:nvSpPr>
        <xdr:cNvPr id="1082" name="AutoShape 58">
          <a:extLst>
            <a:ext uri="{FF2B5EF4-FFF2-40B4-BE49-F238E27FC236}">
              <a16:creationId xmlns:a16="http://schemas.microsoft.com/office/drawing/2014/main" id="{F968F065-1BF6-CC3F-40ED-D70CBD8D19A6}"/>
            </a:ext>
          </a:extLst>
        </xdr:cNvPr>
        <xdr:cNvSpPr>
          <a:spLocks noChangeAspect="1" noChangeArrowheads="1"/>
        </xdr:cNvSpPr>
      </xdr:nvSpPr>
      <xdr:spPr bwMode="auto">
        <a:xfrm>
          <a:off x="3467100" y="145827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48</xdr:row>
      <xdr:rowOff>57150</xdr:rowOff>
    </xdr:from>
    <xdr:to>
      <xdr:col>3</xdr:col>
      <xdr:colOff>209550</xdr:colOff>
      <xdr:row>49</xdr:row>
      <xdr:rowOff>76200</xdr:rowOff>
    </xdr:to>
    <xdr:sp macro="" textlink="">
      <xdr:nvSpPr>
        <xdr:cNvPr id="1083" name="AutoShape 59">
          <a:extLst>
            <a:ext uri="{FF2B5EF4-FFF2-40B4-BE49-F238E27FC236}">
              <a16:creationId xmlns:a16="http://schemas.microsoft.com/office/drawing/2014/main" id="{3CA8B835-578B-8833-2858-224CEFFB1C74}"/>
            </a:ext>
          </a:extLst>
        </xdr:cNvPr>
        <xdr:cNvSpPr>
          <a:spLocks noChangeAspect="1" noChangeArrowheads="1"/>
        </xdr:cNvSpPr>
      </xdr:nvSpPr>
      <xdr:spPr bwMode="auto">
        <a:xfrm>
          <a:off x="3467100" y="1498282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50</xdr:row>
      <xdr:rowOff>76200</xdr:rowOff>
    </xdr:from>
    <xdr:to>
      <xdr:col>3</xdr:col>
      <xdr:colOff>209550</xdr:colOff>
      <xdr:row>51</xdr:row>
      <xdr:rowOff>95250</xdr:rowOff>
    </xdr:to>
    <xdr:sp macro="" textlink="">
      <xdr:nvSpPr>
        <xdr:cNvPr id="1084" name="AutoShape 60">
          <a:extLst>
            <a:ext uri="{FF2B5EF4-FFF2-40B4-BE49-F238E27FC236}">
              <a16:creationId xmlns:a16="http://schemas.microsoft.com/office/drawing/2014/main" id="{D5308AA6-563C-182D-0578-1BA40594D789}"/>
            </a:ext>
          </a:extLst>
        </xdr:cNvPr>
        <xdr:cNvSpPr>
          <a:spLocks noChangeAspect="1" noChangeArrowheads="1"/>
        </xdr:cNvSpPr>
      </xdr:nvSpPr>
      <xdr:spPr bwMode="auto">
        <a:xfrm>
          <a:off x="3467100" y="15382875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209550</xdr:colOff>
      <xdr:row>107</xdr:row>
      <xdr:rowOff>19050</xdr:rowOff>
    </xdr:to>
    <xdr:sp macro="" textlink="">
      <xdr:nvSpPr>
        <xdr:cNvPr id="1085" name="AutoShape 61">
          <a:extLst>
            <a:ext uri="{FF2B5EF4-FFF2-40B4-BE49-F238E27FC236}">
              <a16:creationId xmlns:a16="http://schemas.microsoft.com/office/drawing/2014/main" id="{5654C376-09D5-8870-747F-795BBE708CBC}"/>
            </a:ext>
          </a:extLst>
        </xdr:cNvPr>
        <xdr:cNvSpPr>
          <a:spLocks noChangeAspect="1" noChangeArrowheads="1"/>
        </xdr:cNvSpPr>
      </xdr:nvSpPr>
      <xdr:spPr bwMode="auto">
        <a:xfrm>
          <a:off x="3467100" y="2600325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107</xdr:row>
      <xdr:rowOff>28575</xdr:rowOff>
    </xdr:from>
    <xdr:to>
      <xdr:col>3</xdr:col>
      <xdr:colOff>209550</xdr:colOff>
      <xdr:row>108</xdr:row>
      <xdr:rowOff>47625</xdr:rowOff>
    </xdr:to>
    <xdr:sp macro="" textlink="">
      <xdr:nvSpPr>
        <xdr:cNvPr id="1086" name="AutoShape 62">
          <a:extLst>
            <a:ext uri="{FF2B5EF4-FFF2-40B4-BE49-F238E27FC236}">
              <a16:creationId xmlns:a16="http://schemas.microsoft.com/office/drawing/2014/main" id="{70F746E9-85B4-3603-9E8C-436263A4366B}"/>
            </a:ext>
          </a:extLst>
        </xdr:cNvPr>
        <xdr:cNvSpPr>
          <a:spLocks noChangeAspect="1" noChangeArrowheads="1"/>
        </xdr:cNvSpPr>
      </xdr:nvSpPr>
      <xdr:spPr bwMode="auto">
        <a:xfrm>
          <a:off x="3467100" y="2640330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108</xdr:row>
      <xdr:rowOff>57150</xdr:rowOff>
    </xdr:from>
    <xdr:to>
      <xdr:col>3</xdr:col>
      <xdr:colOff>209550</xdr:colOff>
      <xdr:row>109</xdr:row>
      <xdr:rowOff>76200</xdr:rowOff>
    </xdr:to>
    <xdr:sp macro="" textlink="">
      <xdr:nvSpPr>
        <xdr:cNvPr id="1087" name="AutoShape 63">
          <a:extLst>
            <a:ext uri="{FF2B5EF4-FFF2-40B4-BE49-F238E27FC236}">
              <a16:creationId xmlns:a16="http://schemas.microsoft.com/office/drawing/2014/main" id="{A05D0CFD-90E1-1EFF-547A-6E1763E62539}"/>
            </a:ext>
          </a:extLst>
        </xdr:cNvPr>
        <xdr:cNvSpPr>
          <a:spLocks noChangeAspect="1" noChangeArrowheads="1"/>
        </xdr:cNvSpPr>
      </xdr:nvSpPr>
      <xdr:spPr bwMode="auto">
        <a:xfrm>
          <a:off x="3467100" y="2680335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109</xdr:row>
      <xdr:rowOff>85725</xdr:rowOff>
    </xdr:from>
    <xdr:to>
      <xdr:col>3</xdr:col>
      <xdr:colOff>209550</xdr:colOff>
      <xdr:row>110</xdr:row>
      <xdr:rowOff>104775</xdr:rowOff>
    </xdr:to>
    <xdr:sp macro="" textlink="">
      <xdr:nvSpPr>
        <xdr:cNvPr id="1088" name="AutoShape 64">
          <a:extLst>
            <a:ext uri="{FF2B5EF4-FFF2-40B4-BE49-F238E27FC236}">
              <a16:creationId xmlns:a16="http://schemas.microsoft.com/office/drawing/2014/main" id="{89627EE5-1F62-6E1E-4E45-14000099D1E2}"/>
            </a:ext>
          </a:extLst>
        </xdr:cNvPr>
        <xdr:cNvSpPr>
          <a:spLocks noChangeAspect="1" noChangeArrowheads="1"/>
        </xdr:cNvSpPr>
      </xdr:nvSpPr>
      <xdr:spPr bwMode="auto">
        <a:xfrm>
          <a:off x="3467100" y="2720340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110</xdr:row>
      <xdr:rowOff>114300</xdr:rowOff>
    </xdr:from>
    <xdr:to>
      <xdr:col>3</xdr:col>
      <xdr:colOff>209550</xdr:colOff>
      <xdr:row>111</xdr:row>
      <xdr:rowOff>133350</xdr:rowOff>
    </xdr:to>
    <xdr:sp macro="" textlink="">
      <xdr:nvSpPr>
        <xdr:cNvPr id="1089" name="AutoShape 65">
          <a:extLst>
            <a:ext uri="{FF2B5EF4-FFF2-40B4-BE49-F238E27FC236}">
              <a16:creationId xmlns:a16="http://schemas.microsoft.com/office/drawing/2014/main" id="{D1365A6B-D430-D352-4B9C-421874683866}"/>
            </a:ext>
          </a:extLst>
        </xdr:cNvPr>
        <xdr:cNvSpPr>
          <a:spLocks noChangeAspect="1" noChangeArrowheads="1"/>
        </xdr:cNvSpPr>
      </xdr:nvSpPr>
      <xdr:spPr bwMode="auto">
        <a:xfrm>
          <a:off x="3467100" y="2760345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111</xdr:row>
      <xdr:rowOff>142875</xdr:rowOff>
    </xdr:from>
    <xdr:to>
      <xdr:col>3</xdr:col>
      <xdr:colOff>209550</xdr:colOff>
      <xdr:row>112</xdr:row>
      <xdr:rowOff>161925</xdr:rowOff>
    </xdr:to>
    <xdr:sp macro="" textlink="">
      <xdr:nvSpPr>
        <xdr:cNvPr id="1090" name="AutoShape 66">
          <a:extLst>
            <a:ext uri="{FF2B5EF4-FFF2-40B4-BE49-F238E27FC236}">
              <a16:creationId xmlns:a16="http://schemas.microsoft.com/office/drawing/2014/main" id="{D00B1B7B-E14E-920C-1632-05503BCCB22C}"/>
            </a:ext>
          </a:extLst>
        </xdr:cNvPr>
        <xdr:cNvSpPr>
          <a:spLocks noChangeAspect="1" noChangeArrowheads="1"/>
        </xdr:cNvSpPr>
      </xdr:nvSpPr>
      <xdr:spPr bwMode="auto">
        <a:xfrm>
          <a:off x="3467100" y="2783205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112</xdr:row>
      <xdr:rowOff>171450</xdr:rowOff>
    </xdr:from>
    <xdr:to>
      <xdr:col>3</xdr:col>
      <xdr:colOff>209550</xdr:colOff>
      <xdr:row>114</xdr:row>
      <xdr:rowOff>0</xdr:rowOff>
    </xdr:to>
    <xdr:sp macro="" textlink="">
      <xdr:nvSpPr>
        <xdr:cNvPr id="1091" name="AutoShape 67">
          <a:extLst>
            <a:ext uri="{FF2B5EF4-FFF2-40B4-BE49-F238E27FC236}">
              <a16:creationId xmlns:a16="http://schemas.microsoft.com/office/drawing/2014/main" id="{D74A3C61-CBD5-C9CD-F0BC-7E0F53E85108}"/>
            </a:ext>
          </a:extLst>
        </xdr:cNvPr>
        <xdr:cNvSpPr>
          <a:spLocks noChangeAspect="1" noChangeArrowheads="1"/>
        </xdr:cNvSpPr>
      </xdr:nvSpPr>
      <xdr:spPr bwMode="auto">
        <a:xfrm>
          <a:off x="3467100" y="2806065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114</xdr:row>
      <xdr:rowOff>0</xdr:rowOff>
    </xdr:from>
    <xdr:to>
      <xdr:col>3</xdr:col>
      <xdr:colOff>209550</xdr:colOff>
      <xdr:row>115</xdr:row>
      <xdr:rowOff>19050</xdr:rowOff>
    </xdr:to>
    <xdr:sp macro="" textlink="">
      <xdr:nvSpPr>
        <xdr:cNvPr id="1092" name="AutoShape 68">
          <a:extLst>
            <a:ext uri="{FF2B5EF4-FFF2-40B4-BE49-F238E27FC236}">
              <a16:creationId xmlns:a16="http://schemas.microsoft.com/office/drawing/2014/main" id="{8EC5B4DE-E766-A3C2-FC3B-8B44CB7BD24C}"/>
            </a:ext>
          </a:extLst>
        </xdr:cNvPr>
        <xdr:cNvSpPr>
          <a:spLocks noChangeAspect="1" noChangeArrowheads="1"/>
        </xdr:cNvSpPr>
      </xdr:nvSpPr>
      <xdr:spPr bwMode="auto">
        <a:xfrm>
          <a:off x="3467100" y="2846070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114</xdr:row>
      <xdr:rowOff>228600</xdr:rowOff>
    </xdr:from>
    <xdr:to>
      <xdr:col>3</xdr:col>
      <xdr:colOff>209550</xdr:colOff>
      <xdr:row>116</xdr:row>
      <xdr:rowOff>19050</xdr:rowOff>
    </xdr:to>
    <xdr:sp macro="" textlink="">
      <xdr:nvSpPr>
        <xdr:cNvPr id="1093" name="AutoShape 69">
          <a:extLst>
            <a:ext uri="{FF2B5EF4-FFF2-40B4-BE49-F238E27FC236}">
              <a16:creationId xmlns:a16="http://schemas.microsoft.com/office/drawing/2014/main" id="{581D84F2-DEB3-9398-A3EB-02363EFEA0EA}"/>
            </a:ext>
          </a:extLst>
        </xdr:cNvPr>
        <xdr:cNvSpPr>
          <a:spLocks noChangeAspect="1" noChangeArrowheads="1"/>
        </xdr:cNvSpPr>
      </xdr:nvSpPr>
      <xdr:spPr bwMode="auto">
        <a:xfrm>
          <a:off x="3467100" y="2868930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115</xdr:row>
      <xdr:rowOff>257175</xdr:rowOff>
    </xdr:from>
    <xdr:to>
      <xdr:col>3</xdr:col>
      <xdr:colOff>209550</xdr:colOff>
      <xdr:row>117</xdr:row>
      <xdr:rowOff>19050</xdr:rowOff>
    </xdr:to>
    <xdr:sp macro="" textlink="">
      <xdr:nvSpPr>
        <xdr:cNvPr id="1094" name="AutoShape 70">
          <a:extLst>
            <a:ext uri="{FF2B5EF4-FFF2-40B4-BE49-F238E27FC236}">
              <a16:creationId xmlns:a16="http://schemas.microsoft.com/office/drawing/2014/main" id="{55136B89-47E4-5293-E468-967D8AC07B48}"/>
            </a:ext>
          </a:extLst>
        </xdr:cNvPr>
        <xdr:cNvSpPr>
          <a:spLocks noChangeAspect="1" noChangeArrowheads="1"/>
        </xdr:cNvSpPr>
      </xdr:nvSpPr>
      <xdr:spPr bwMode="auto">
        <a:xfrm>
          <a:off x="3467100" y="2908935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116</xdr:row>
      <xdr:rowOff>285750</xdr:rowOff>
    </xdr:from>
    <xdr:to>
      <xdr:col>3</xdr:col>
      <xdr:colOff>209550</xdr:colOff>
      <xdr:row>118</xdr:row>
      <xdr:rowOff>19050</xdr:rowOff>
    </xdr:to>
    <xdr:sp macro="" textlink="">
      <xdr:nvSpPr>
        <xdr:cNvPr id="1095" name="AutoShape 71">
          <a:extLst>
            <a:ext uri="{FF2B5EF4-FFF2-40B4-BE49-F238E27FC236}">
              <a16:creationId xmlns:a16="http://schemas.microsoft.com/office/drawing/2014/main" id="{736073B8-7164-6FD0-1E91-9E92C0AAAFCD}"/>
            </a:ext>
          </a:extLst>
        </xdr:cNvPr>
        <xdr:cNvSpPr>
          <a:spLocks noChangeAspect="1" noChangeArrowheads="1"/>
        </xdr:cNvSpPr>
      </xdr:nvSpPr>
      <xdr:spPr bwMode="auto">
        <a:xfrm>
          <a:off x="3467100" y="2948940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118</xdr:row>
      <xdr:rowOff>114300</xdr:rowOff>
    </xdr:from>
    <xdr:to>
      <xdr:col>3</xdr:col>
      <xdr:colOff>209550</xdr:colOff>
      <xdr:row>119</xdr:row>
      <xdr:rowOff>133350</xdr:rowOff>
    </xdr:to>
    <xdr:sp macro="" textlink="">
      <xdr:nvSpPr>
        <xdr:cNvPr id="1096" name="AutoShape 72">
          <a:extLst>
            <a:ext uri="{FF2B5EF4-FFF2-40B4-BE49-F238E27FC236}">
              <a16:creationId xmlns:a16="http://schemas.microsoft.com/office/drawing/2014/main" id="{16FAAE25-7F6F-B779-13BA-98AC1E2096C3}"/>
            </a:ext>
          </a:extLst>
        </xdr:cNvPr>
        <xdr:cNvSpPr>
          <a:spLocks noChangeAspect="1" noChangeArrowheads="1"/>
        </xdr:cNvSpPr>
      </xdr:nvSpPr>
      <xdr:spPr bwMode="auto">
        <a:xfrm>
          <a:off x="3467100" y="2988945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118</xdr:row>
      <xdr:rowOff>342900</xdr:rowOff>
    </xdr:from>
    <xdr:to>
      <xdr:col>3</xdr:col>
      <xdr:colOff>209550</xdr:colOff>
      <xdr:row>120</xdr:row>
      <xdr:rowOff>19050</xdr:rowOff>
    </xdr:to>
    <xdr:sp macro="" textlink="">
      <xdr:nvSpPr>
        <xdr:cNvPr id="1097" name="AutoShape 73">
          <a:extLst>
            <a:ext uri="{FF2B5EF4-FFF2-40B4-BE49-F238E27FC236}">
              <a16:creationId xmlns:a16="http://schemas.microsoft.com/office/drawing/2014/main" id="{990936DC-79B8-78CC-6927-C47617CCA6D4}"/>
            </a:ext>
          </a:extLst>
        </xdr:cNvPr>
        <xdr:cNvSpPr>
          <a:spLocks noChangeAspect="1" noChangeArrowheads="1"/>
        </xdr:cNvSpPr>
      </xdr:nvSpPr>
      <xdr:spPr bwMode="auto">
        <a:xfrm>
          <a:off x="3467100" y="3011805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209550</xdr:colOff>
      <xdr:row>121</xdr:row>
      <xdr:rowOff>19050</xdr:rowOff>
    </xdr:to>
    <xdr:sp macro="" textlink="">
      <xdr:nvSpPr>
        <xdr:cNvPr id="1098" name="AutoShape 74">
          <a:extLst>
            <a:ext uri="{FF2B5EF4-FFF2-40B4-BE49-F238E27FC236}">
              <a16:creationId xmlns:a16="http://schemas.microsoft.com/office/drawing/2014/main" id="{1112AAA0-7AA9-7D6D-311A-773C49433D26}"/>
            </a:ext>
          </a:extLst>
        </xdr:cNvPr>
        <xdr:cNvSpPr>
          <a:spLocks noChangeAspect="1" noChangeArrowheads="1"/>
        </xdr:cNvSpPr>
      </xdr:nvSpPr>
      <xdr:spPr bwMode="auto">
        <a:xfrm>
          <a:off x="3467100" y="3051810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121</xdr:row>
      <xdr:rowOff>28575</xdr:rowOff>
    </xdr:from>
    <xdr:to>
      <xdr:col>3</xdr:col>
      <xdr:colOff>209550</xdr:colOff>
      <xdr:row>122</xdr:row>
      <xdr:rowOff>47625</xdr:rowOff>
    </xdr:to>
    <xdr:sp macro="" textlink="">
      <xdr:nvSpPr>
        <xdr:cNvPr id="1099" name="AutoShape 75">
          <a:extLst>
            <a:ext uri="{FF2B5EF4-FFF2-40B4-BE49-F238E27FC236}">
              <a16:creationId xmlns:a16="http://schemas.microsoft.com/office/drawing/2014/main" id="{A2DE73D6-740B-08EF-6BEC-33587710A321}"/>
            </a:ext>
          </a:extLst>
        </xdr:cNvPr>
        <xdr:cNvSpPr>
          <a:spLocks noChangeAspect="1" noChangeArrowheads="1"/>
        </xdr:cNvSpPr>
      </xdr:nvSpPr>
      <xdr:spPr bwMode="auto">
        <a:xfrm>
          <a:off x="3467100" y="3091815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122</xdr:row>
      <xdr:rowOff>228600</xdr:rowOff>
    </xdr:from>
    <xdr:to>
      <xdr:col>3</xdr:col>
      <xdr:colOff>209550</xdr:colOff>
      <xdr:row>124</xdr:row>
      <xdr:rowOff>19050</xdr:rowOff>
    </xdr:to>
    <xdr:sp macro="" textlink="">
      <xdr:nvSpPr>
        <xdr:cNvPr id="1100" name="AutoShape 76">
          <a:extLst>
            <a:ext uri="{FF2B5EF4-FFF2-40B4-BE49-F238E27FC236}">
              <a16:creationId xmlns:a16="http://schemas.microsoft.com/office/drawing/2014/main" id="{B6DC3FE2-5058-4C02-DFC5-E9F6F2961C9C}"/>
            </a:ext>
          </a:extLst>
        </xdr:cNvPr>
        <xdr:cNvSpPr>
          <a:spLocks noChangeAspect="1" noChangeArrowheads="1"/>
        </xdr:cNvSpPr>
      </xdr:nvSpPr>
      <xdr:spPr bwMode="auto">
        <a:xfrm>
          <a:off x="3467100" y="3131820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123</xdr:row>
      <xdr:rowOff>85725</xdr:rowOff>
    </xdr:from>
    <xdr:to>
      <xdr:col>3</xdr:col>
      <xdr:colOff>209550</xdr:colOff>
      <xdr:row>124</xdr:row>
      <xdr:rowOff>104775</xdr:rowOff>
    </xdr:to>
    <xdr:sp macro="" textlink="">
      <xdr:nvSpPr>
        <xdr:cNvPr id="1101" name="AutoShape 77">
          <a:extLst>
            <a:ext uri="{FF2B5EF4-FFF2-40B4-BE49-F238E27FC236}">
              <a16:creationId xmlns:a16="http://schemas.microsoft.com/office/drawing/2014/main" id="{72F65272-01C7-8087-001E-598B2D53FEFA}"/>
            </a:ext>
          </a:extLst>
        </xdr:cNvPr>
        <xdr:cNvSpPr>
          <a:spLocks noChangeAspect="1" noChangeArrowheads="1"/>
        </xdr:cNvSpPr>
      </xdr:nvSpPr>
      <xdr:spPr bwMode="auto">
        <a:xfrm>
          <a:off x="3467100" y="3154680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125</xdr:row>
      <xdr:rowOff>85725</xdr:rowOff>
    </xdr:from>
    <xdr:to>
      <xdr:col>3</xdr:col>
      <xdr:colOff>209550</xdr:colOff>
      <xdr:row>126</xdr:row>
      <xdr:rowOff>104775</xdr:rowOff>
    </xdr:to>
    <xdr:sp macro="" textlink="">
      <xdr:nvSpPr>
        <xdr:cNvPr id="1102" name="AutoShape 78">
          <a:extLst>
            <a:ext uri="{FF2B5EF4-FFF2-40B4-BE49-F238E27FC236}">
              <a16:creationId xmlns:a16="http://schemas.microsoft.com/office/drawing/2014/main" id="{C9243DD2-A483-84CF-BF51-256A22DB0B8F}"/>
            </a:ext>
          </a:extLst>
        </xdr:cNvPr>
        <xdr:cNvSpPr>
          <a:spLocks noChangeAspect="1" noChangeArrowheads="1"/>
        </xdr:cNvSpPr>
      </xdr:nvSpPr>
      <xdr:spPr bwMode="auto">
        <a:xfrm>
          <a:off x="3467100" y="3194685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125</xdr:row>
      <xdr:rowOff>314325</xdr:rowOff>
    </xdr:from>
    <xdr:to>
      <xdr:col>3</xdr:col>
      <xdr:colOff>209550</xdr:colOff>
      <xdr:row>127</xdr:row>
      <xdr:rowOff>19050</xdr:rowOff>
    </xdr:to>
    <xdr:sp macro="" textlink="">
      <xdr:nvSpPr>
        <xdr:cNvPr id="1103" name="AutoShape 79">
          <a:extLst>
            <a:ext uri="{FF2B5EF4-FFF2-40B4-BE49-F238E27FC236}">
              <a16:creationId xmlns:a16="http://schemas.microsoft.com/office/drawing/2014/main" id="{3146C4EA-475B-0BC4-4FBC-D99D45702353}"/>
            </a:ext>
          </a:extLst>
        </xdr:cNvPr>
        <xdr:cNvSpPr>
          <a:spLocks noChangeAspect="1" noChangeArrowheads="1"/>
        </xdr:cNvSpPr>
      </xdr:nvSpPr>
      <xdr:spPr bwMode="auto">
        <a:xfrm>
          <a:off x="3467100" y="3217545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126</xdr:row>
      <xdr:rowOff>171450</xdr:rowOff>
    </xdr:from>
    <xdr:to>
      <xdr:col>3</xdr:col>
      <xdr:colOff>209550</xdr:colOff>
      <xdr:row>128</xdr:row>
      <xdr:rowOff>0</xdr:rowOff>
    </xdr:to>
    <xdr:sp macro="" textlink="">
      <xdr:nvSpPr>
        <xdr:cNvPr id="1104" name="AutoShape 80">
          <a:extLst>
            <a:ext uri="{FF2B5EF4-FFF2-40B4-BE49-F238E27FC236}">
              <a16:creationId xmlns:a16="http://schemas.microsoft.com/office/drawing/2014/main" id="{0911341B-AD36-37F4-523F-0243DAEB1C16}"/>
            </a:ext>
          </a:extLst>
        </xdr:cNvPr>
        <xdr:cNvSpPr>
          <a:spLocks noChangeAspect="1" noChangeArrowheads="1"/>
        </xdr:cNvSpPr>
      </xdr:nvSpPr>
      <xdr:spPr bwMode="auto">
        <a:xfrm>
          <a:off x="3467100" y="3240405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127</xdr:row>
      <xdr:rowOff>200025</xdr:rowOff>
    </xdr:from>
    <xdr:to>
      <xdr:col>3</xdr:col>
      <xdr:colOff>209550</xdr:colOff>
      <xdr:row>129</xdr:row>
      <xdr:rowOff>19050</xdr:rowOff>
    </xdr:to>
    <xdr:sp macro="" textlink="">
      <xdr:nvSpPr>
        <xdr:cNvPr id="1105" name="AutoShape 81">
          <a:extLst>
            <a:ext uri="{FF2B5EF4-FFF2-40B4-BE49-F238E27FC236}">
              <a16:creationId xmlns:a16="http://schemas.microsoft.com/office/drawing/2014/main" id="{B0F1171E-5891-F46F-7979-E67572D8C6CE}"/>
            </a:ext>
          </a:extLst>
        </xdr:cNvPr>
        <xdr:cNvSpPr>
          <a:spLocks noChangeAspect="1" noChangeArrowheads="1"/>
        </xdr:cNvSpPr>
      </xdr:nvSpPr>
      <xdr:spPr bwMode="auto">
        <a:xfrm>
          <a:off x="3467100" y="3280410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128</xdr:row>
      <xdr:rowOff>228600</xdr:rowOff>
    </xdr:from>
    <xdr:to>
      <xdr:col>3</xdr:col>
      <xdr:colOff>209550</xdr:colOff>
      <xdr:row>130</xdr:row>
      <xdr:rowOff>19050</xdr:rowOff>
    </xdr:to>
    <xdr:sp macro="" textlink="">
      <xdr:nvSpPr>
        <xdr:cNvPr id="1106" name="AutoShape 82">
          <a:extLst>
            <a:ext uri="{FF2B5EF4-FFF2-40B4-BE49-F238E27FC236}">
              <a16:creationId xmlns:a16="http://schemas.microsoft.com/office/drawing/2014/main" id="{1A028D0B-43FA-4EC7-716D-A65DCBA514F6}"/>
            </a:ext>
          </a:extLst>
        </xdr:cNvPr>
        <xdr:cNvSpPr>
          <a:spLocks noChangeAspect="1" noChangeArrowheads="1"/>
        </xdr:cNvSpPr>
      </xdr:nvSpPr>
      <xdr:spPr bwMode="auto">
        <a:xfrm>
          <a:off x="3467100" y="3320415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129</xdr:row>
      <xdr:rowOff>257175</xdr:rowOff>
    </xdr:from>
    <xdr:to>
      <xdr:col>3</xdr:col>
      <xdr:colOff>209550</xdr:colOff>
      <xdr:row>131</xdr:row>
      <xdr:rowOff>19050</xdr:rowOff>
    </xdr:to>
    <xdr:sp macro="" textlink="">
      <xdr:nvSpPr>
        <xdr:cNvPr id="1107" name="AutoShape 83">
          <a:extLst>
            <a:ext uri="{FF2B5EF4-FFF2-40B4-BE49-F238E27FC236}">
              <a16:creationId xmlns:a16="http://schemas.microsoft.com/office/drawing/2014/main" id="{77D47EDD-F7E9-1535-217F-8A861791920C}"/>
            </a:ext>
          </a:extLst>
        </xdr:cNvPr>
        <xdr:cNvSpPr>
          <a:spLocks noChangeAspect="1" noChangeArrowheads="1"/>
        </xdr:cNvSpPr>
      </xdr:nvSpPr>
      <xdr:spPr bwMode="auto">
        <a:xfrm>
          <a:off x="3467100" y="3360420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131</xdr:row>
      <xdr:rowOff>104775</xdr:rowOff>
    </xdr:from>
    <xdr:to>
      <xdr:col>3</xdr:col>
      <xdr:colOff>209550</xdr:colOff>
      <xdr:row>132</xdr:row>
      <xdr:rowOff>123825</xdr:rowOff>
    </xdr:to>
    <xdr:sp macro="" textlink="">
      <xdr:nvSpPr>
        <xdr:cNvPr id="1108" name="AutoShape 84">
          <a:extLst>
            <a:ext uri="{FF2B5EF4-FFF2-40B4-BE49-F238E27FC236}">
              <a16:creationId xmlns:a16="http://schemas.microsoft.com/office/drawing/2014/main" id="{09FCF207-FD5F-E79E-BCFA-40FC44EB31C9}"/>
            </a:ext>
          </a:extLst>
        </xdr:cNvPr>
        <xdr:cNvSpPr>
          <a:spLocks noChangeAspect="1" noChangeArrowheads="1"/>
        </xdr:cNvSpPr>
      </xdr:nvSpPr>
      <xdr:spPr bwMode="auto">
        <a:xfrm>
          <a:off x="3467100" y="3400425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12</v>
    <v>049</v>
    <v>0</v>
  </rv>
  <rv s="0">
    <v>12</v>
    <v>869</v>
    <v>0</v>
  </rv>
</rvData>
</file>

<file path=xl/richData/rdrichvaluestructure.xml><?xml version="1.0" encoding="utf-8"?>
<rvStructures xmlns="http://schemas.microsoft.com/office/spreadsheetml/2017/richdata" count="1">
  <s t="_error">
    <k n="errorType" t="i"/>
    <k n="field" t="s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mijn.knwu.nl/calendar/races/105105" TargetMode="External"/><Relationship Id="rId21" Type="http://schemas.openxmlformats.org/officeDocument/2006/relationships/hyperlink" Target="https://mijn.knwu.nl/calendar/races/105105" TargetMode="External"/><Relationship Id="rId42" Type="http://schemas.openxmlformats.org/officeDocument/2006/relationships/hyperlink" Target="https://mijn.knwu.nl/calendar/races/105105" TargetMode="External"/><Relationship Id="rId47" Type="http://schemas.openxmlformats.org/officeDocument/2006/relationships/hyperlink" Target="https://mijn.knwu.nl/calendar/races/105105" TargetMode="External"/><Relationship Id="rId63" Type="http://schemas.openxmlformats.org/officeDocument/2006/relationships/hyperlink" Target="https://mijn.knwu.nl/calendar/races/105106" TargetMode="External"/><Relationship Id="rId68" Type="http://schemas.openxmlformats.org/officeDocument/2006/relationships/hyperlink" Target="https://mijn.knwu.nl/calendar/races/105106" TargetMode="External"/><Relationship Id="rId84" Type="http://schemas.openxmlformats.org/officeDocument/2006/relationships/hyperlink" Target="https://mijn.knwu.nl/calendar/races/105106" TargetMode="External"/><Relationship Id="rId16" Type="http://schemas.openxmlformats.org/officeDocument/2006/relationships/hyperlink" Target="https://mijn.knwu.nl/calendar/races/105109" TargetMode="External"/><Relationship Id="rId11" Type="http://schemas.openxmlformats.org/officeDocument/2006/relationships/hyperlink" Target="https://mijn.knwu.nl/calendar/races/105109" TargetMode="External"/><Relationship Id="rId32" Type="http://schemas.openxmlformats.org/officeDocument/2006/relationships/hyperlink" Target="https://mijn.knwu.nl/calendar/races/105105" TargetMode="External"/><Relationship Id="rId37" Type="http://schemas.openxmlformats.org/officeDocument/2006/relationships/hyperlink" Target="https://mijn.knwu.nl/calendar/races/105105" TargetMode="External"/><Relationship Id="rId53" Type="http://schemas.openxmlformats.org/officeDocument/2006/relationships/hyperlink" Target="https://mijn.knwu.nl/calendar/races/105105" TargetMode="External"/><Relationship Id="rId58" Type="http://schemas.openxmlformats.org/officeDocument/2006/relationships/hyperlink" Target="https://mijn.knwu.nl/calendar/races/105105" TargetMode="External"/><Relationship Id="rId74" Type="http://schemas.openxmlformats.org/officeDocument/2006/relationships/hyperlink" Target="https://mijn.knwu.nl/calendar/races/105106" TargetMode="External"/><Relationship Id="rId79" Type="http://schemas.openxmlformats.org/officeDocument/2006/relationships/hyperlink" Target="https://mijn.knwu.nl/calendar/races/105106" TargetMode="External"/><Relationship Id="rId5" Type="http://schemas.openxmlformats.org/officeDocument/2006/relationships/hyperlink" Target="https://mijn.knwu.nl/calendar/races/105109" TargetMode="External"/><Relationship Id="rId19" Type="http://schemas.openxmlformats.org/officeDocument/2006/relationships/hyperlink" Target="https://mijn.knwu.nl/calendar/races/105105" TargetMode="External"/><Relationship Id="rId14" Type="http://schemas.openxmlformats.org/officeDocument/2006/relationships/hyperlink" Target="https://mijn.knwu.nl/calendar/races/105109" TargetMode="External"/><Relationship Id="rId22" Type="http://schemas.openxmlformats.org/officeDocument/2006/relationships/hyperlink" Target="https://mijn.knwu.nl/calendar/races/105105" TargetMode="External"/><Relationship Id="rId27" Type="http://schemas.openxmlformats.org/officeDocument/2006/relationships/hyperlink" Target="https://mijn.knwu.nl/calendar/races/105105" TargetMode="External"/><Relationship Id="rId30" Type="http://schemas.openxmlformats.org/officeDocument/2006/relationships/hyperlink" Target="https://mijn.knwu.nl/calendar/races/105105" TargetMode="External"/><Relationship Id="rId35" Type="http://schemas.openxmlformats.org/officeDocument/2006/relationships/hyperlink" Target="https://mijn.knwu.nl/calendar/races/105105" TargetMode="External"/><Relationship Id="rId43" Type="http://schemas.openxmlformats.org/officeDocument/2006/relationships/hyperlink" Target="https://mijn.knwu.nl/calendar/races/105105" TargetMode="External"/><Relationship Id="rId48" Type="http://schemas.openxmlformats.org/officeDocument/2006/relationships/hyperlink" Target="https://mijn.knwu.nl/calendar/races/105105" TargetMode="External"/><Relationship Id="rId56" Type="http://schemas.openxmlformats.org/officeDocument/2006/relationships/hyperlink" Target="https://mijn.knwu.nl/calendar/races/105105" TargetMode="External"/><Relationship Id="rId64" Type="http://schemas.openxmlformats.org/officeDocument/2006/relationships/hyperlink" Target="https://mijn.knwu.nl/calendar/races/105106" TargetMode="External"/><Relationship Id="rId69" Type="http://schemas.openxmlformats.org/officeDocument/2006/relationships/hyperlink" Target="https://mijn.knwu.nl/calendar/races/105106" TargetMode="External"/><Relationship Id="rId77" Type="http://schemas.openxmlformats.org/officeDocument/2006/relationships/hyperlink" Target="https://mijn.knwu.nl/calendar/races/105106" TargetMode="External"/><Relationship Id="rId8" Type="http://schemas.openxmlformats.org/officeDocument/2006/relationships/hyperlink" Target="https://mijn.knwu.nl/calendar/races/105109" TargetMode="External"/><Relationship Id="rId51" Type="http://schemas.openxmlformats.org/officeDocument/2006/relationships/hyperlink" Target="https://mijn.knwu.nl/calendar/races/105105" TargetMode="External"/><Relationship Id="rId72" Type="http://schemas.openxmlformats.org/officeDocument/2006/relationships/hyperlink" Target="https://mijn.knwu.nl/calendar/races/105106" TargetMode="External"/><Relationship Id="rId80" Type="http://schemas.openxmlformats.org/officeDocument/2006/relationships/hyperlink" Target="https://mijn.knwu.nl/calendar/races/105106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https://mijn.knwu.nl/calendar/races/105109" TargetMode="External"/><Relationship Id="rId12" Type="http://schemas.openxmlformats.org/officeDocument/2006/relationships/hyperlink" Target="https://mijn.knwu.nl/calendar/races/105109" TargetMode="External"/><Relationship Id="rId17" Type="http://schemas.openxmlformats.org/officeDocument/2006/relationships/hyperlink" Target="https://mijn.knwu.nl/calendar/races/105109" TargetMode="External"/><Relationship Id="rId25" Type="http://schemas.openxmlformats.org/officeDocument/2006/relationships/hyperlink" Target="https://mijn.knwu.nl/calendar/races/105105" TargetMode="External"/><Relationship Id="rId33" Type="http://schemas.openxmlformats.org/officeDocument/2006/relationships/hyperlink" Target="https://mijn.knwu.nl/calendar/races/105105" TargetMode="External"/><Relationship Id="rId38" Type="http://schemas.openxmlformats.org/officeDocument/2006/relationships/hyperlink" Target="https://mijn.knwu.nl/calendar/races/105105" TargetMode="External"/><Relationship Id="rId46" Type="http://schemas.openxmlformats.org/officeDocument/2006/relationships/hyperlink" Target="https://mijn.knwu.nl/calendar/races/105105" TargetMode="External"/><Relationship Id="rId59" Type="http://schemas.openxmlformats.org/officeDocument/2006/relationships/hyperlink" Target="https://mijn.knwu.nl/calendar/races/105105" TargetMode="External"/><Relationship Id="rId67" Type="http://schemas.openxmlformats.org/officeDocument/2006/relationships/hyperlink" Target="https://mijn.knwu.nl/calendar/races/105106" TargetMode="External"/><Relationship Id="rId20" Type="http://schemas.openxmlformats.org/officeDocument/2006/relationships/hyperlink" Target="https://mijn.knwu.nl/calendar/races/105105" TargetMode="External"/><Relationship Id="rId41" Type="http://schemas.openxmlformats.org/officeDocument/2006/relationships/hyperlink" Target="https://mijn.knwu.nl/calendar/races/105105" TargetMode="External"/><Relationship Id="rId54" Type="http://schemas.openxmlformats.org/officeDocument/2006/relationships/hyperlink" Target="https://mijn.knwu.nl/calendar/races/105105" TargetMode="External"/><Relationship Id="rId62" Type="http://schemas.openxmlformats.org/officeDocument/2006/relationships/hyperlink" Target="https://mijn.knwu.nl/calendar/races/105106" TargetMode="External"/><Relationship Id="rId70" Type="http://schemas.openxmlformats.org/officeDocument/2006/relationships/hyperlink" Target="https://mijn.knwu.nl/calendar/races/105106" TargetMode="External"/><Relationship Id="rId75" Type="http://schemas.openxmlformats.org/officeDocument/2006/relationships/hyperlink" Target="https://mijn.knwu.nl/calendar/races/105106" TargetMode="External"/><Relationship Id="rId83" Type="http://schemas.openxmlformats.org/officeDocument/2006/relationships/hyperlink" Target="https://mijn.knwu.nl/calendar/races/105106" TargetMode="External"/><Relationship Id="rId1" Type="http://schemas.openxmlformats.org/officeDocument/2006/relationships/hyperlink" Target="https://mijn.knwu.nl/calendar/races/105109" TargetMode="External"/><Relationship Id="rId6" Type="http://schemas.openxmlformats.org/officeDocument/2006/relationships/hyperlink" Target="https://mijn.knwu.nl/calendar/races/105109" TargetMode="External"/><Relationship Id="rId15" Type="http://schemas.openxmlformats.org/officeDocument/2006/relationships/hyperlink" Target="https://mijn.knwu.nl/calendar/races/105109" TargetMode="External"/><Relationship Id="rId23" Type="http://schemas.openxmlformats.org/officeDocument/2006/relationships/hyperlink" Target="https://mijn.knwu.nl/calendar/races/105105" TargetMode="External"/><Relationship Id="rId28" Type="http://schemas.openxmlformats.org/officeDocument/2006/relationships/hyperlink" Target="https://mijn.knwu.nl/calendar/races/105105" TargetMode="External"/><Relationship Id="rId36" Type="http://schemas.openxmlformats.org/officeDocument/2006/relationships/hyperlink" Target="https://mijn.knwu.nl/calendar/races/105105" TargetMode="External"/><Relationship Id="rId49" Type="http://schemas.openxmlformats.org/officeDocument/2006/relationships/hyperlink" Target="https://mijn.knwu.nl/calendar/races/105105" TargetMode="External"/><Relationship Id="rId57" Type="http://schemas.openxmlformats.org/officeDocument/2006/relationships/hyperlink" Target="https://mijn.knwu.nl/calendar/races/105105" TargetMode="External"/><Relationship Id="rId10" Type="http://schemas.openxmlformats.org/officeDocument/2006/relationships/hyperlink" Target="https://mijn.knwu.nl/calendar/races/105109" TargetMode="External"/><Relationship Id="rId31" Type="http://schemas.openxmlformats.org/officeDocument/2006/relationships/hyperlink" Target="https://mijn.knwu.nl/calendar/races/105105" TargetMode="External"/><Relationship Id="rId44" Type="http://schemas.openxmlformats.org/officeDocument/2006/relationships/hyperlink" Target="https://mijn.knwu.nl/calendar/races/105105" TargetMode="External"/><Relationship Id="rId52" Type="http://schemas.openxmlformats.org/officeDocument/2006/relationships/hyperlink" Target="https://mijn.knwu.nl/calendar/races/105105" TargetMode="External"/><Relationship Id="rId60" Type="http://schemas.openxmlformats.org/officeDocument/2006/relationships/hyperlink" Target="https://mijn.knwu.nl/calendar/races/105105" TargetMode="External"/><Relationship Id="rId65" Type="http://schemas.openxmlformats.org/officeDocument/2006/relationships/hyperlink" Target="https://mijn.knwu.nl/calendar/races/105106" TargetMode="External"/><Relationship Id="rId73" Type="http://schemas.openxmlformats.org/officeDocument/2006/relationships/hyperlink" Target="https://mijn.knwu.nl/calendar/races/105106" TargetMode="External"/><Relationship Id="rId78" Type="http://schemas.openxmlformats.org/officeDocument/2006/relationships/hyperlink" Target="https://mijn.knwu.nl/calendar/races/105106" TargetMode="External"/><Relationship Id="rId81" Type="http://schemas.openxmlformats.org/officeDocument/2006/relationships/hyperlink" Target="https://mijn.knwu.nl/calendar/races/105106" TargetMode="External"/><Relationship Id="rId86" Type="http://schemas.openxmlformats.org/officeDocument/2006/relationships/drawing" Target="../drawings/drawing1.xml"/><Relationship Id="rId4" Type="http://schemas.openxmlformats.org/officeDocument/2006/relationships/hyperlink" Target="https://mijn.knwu.nl/calendar/races/105109" TargetMode="External"/><Relationship Id="rId9" Type="http://schemas.openxmlformats.org/officeDocument/2006/relationships/hyperlink" Target="https://mijn.knwu.nl/calendar/races/105109" TargetMode="External"/><Relationship Id="rId13" Type="http://schemas.openxmlformats.org/officeDocument/2006/relationships/hyperlink" Target="https://mijn.knwu.nl/calendar/races/105109" TargetMode="External"/><Relationship Id="rId18" Type="http://schemas.openxmlformats.org/officeDocument/2006/relationships/hyperlink" Target="https://mijn.knwu.nl/calendar/races/105105" TargetMode="External"/><Relationship Id="rId39" Type="http://schemas.openxmlformats.org/officeDocument/2006/relationships/hyperlink" Target="https://mijn.knwu.nl/calendar/races/105105" TargetMode="External"/><Relationship Id="rId34" Type="http://schemas.openxmlformats.org/officeDocument/2006/relationships/hyperlink" Target="https://mijn.knwu.nl/calendar/races/105105" TargetMode="External"/><Relationship Id="rId50" Type="http://schemas.openxmlformats.org/officeDocument/2006/relationships/hyperlink" Target="https://mijn.knwu.nl/calendar/races/105105" TargetMode="External"/><Relationship Id="rId55" Type="http://schemas.openxmlformats.org/officeDocument/2006/relationships/hyperlink" Target="https://mijn.knwu.nl/calendar/races/105105" TargetMode="External"/><Relationship Id="rId76" Type="http://schemas.openxmlformats.org/officeDocument/2006/relationships/hyperlink" Target="https://mijn.knwu.nl/calendar/races/105106" TargetMode="External"/><Relationship Id="rId7" Type="http://schemas.openxmlformats.org/officeDocument/2006/relationships/hyperlink" Target="https://mijn.knwu.nl/calendar/races/105109" TargetMode="External"/><Relationship Id="rId71" Type="http://schemas.openxmlformats.org/officeDocument/2006/relationships/hyperlink" Target="https://mijn.knwu.nl/calendar/races/105106" TargetMode="External"/><Relationship Id="rId2" Type="http://schemas.openxmlformats.org/officeDocument/2006/relationships/hyperlink" Target="https://mijn.knwu.nl/calendar/races/105109" TargetMode="External"/><Relationship Id="rId29" Type="http://schemas.openxmlformats.org/officeDocument/2006/relationships/hyperlink" Target="https://mijn.knwu.nl/calendar/races/105105" TargetMode="External"/><Relationship Id="rId24" Type="http://schemas.openxmlformats.org/officeDocument/2006/relationships/hyperlink" Target="https://mijn.knwu.nl/calendar/races/105105" TargetMode="External"/><Relationship Id="rId40" Type="http://schemas.openxmlformats.org/officeDocument/2006/relationships/hyperlink" Target="https://mijn.knwu.nl/calendar/races/105105" TargetMode="External"/><Relationship Id="rId45" Type="http://schemas.openxmlformats.org/officeDocument/2006/relationships/hyperlink" Target="https://mijn.knwu.nl/calendar/races/105105" TargetMode="External"/><Relationship Id="rId66" Type="http://schemas.openxmlformats.org/officeDocument/2006/relationships/hyperlink" Target="https://mijn.knwu.nl/calendar/races/105106" TargetMode="External"/><Relationship Id="rId61" Type="http://schemas.openxmlformats.org/officeDocument/2006/relationships/hyperlink" Target="https://mijn.knwu.nl/calendar/races/105106" TargetMode="External"/><Relationship Id="rId82" Type="http://schemas.openxmlformats.org/officeDocument/2006/relationships/hyperlink" Target="https://mijn.knwu.nl/calendar/races/105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9"/>
  <sheetViews>
    <sheetView zoomScaleNormal="100" workbookViewId="0"/>
  </sheetViews>
  <sheetFormatPr defaultColWidth="8.7109375" defaultRowHeight="15" x14ac:dyDescent="0.25"/>
  <cols>
    <col min="1" max="1" width="80" customWidth="1"/>
  </cols>
  <sheetData>
    <row r="1" spans="1:1" ht="20.25" customHeight="1" x14ac:dyDescent="0.3">
      <c r="A1" s="1" t="s">
        <v>0</v>
      </c>
    </row>
    <row r="2" spans="1:1" x14ac:dyDescent="0.25">
      <c r="A2" s="2"/>
    </row>
    <row r="3" spans="1:1" ht="16.5" customHeight="1" x14ac:dyDescent="0.25">
      <c r="A3" s="3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 t="s">
        <v>4</v>
      </c>
    </row>
    <row r="7" spans="1:1" x14ac:dyDescent="0.25">
      <c r="A7" s="2" t="s">
        <v>5</v>
      </c>
    </row>
    <row r="8" spans="1:1" x14ac:dyDescent="0.25">
      <c r="A8" s="2" t="s">
        <v>6</v>
      </c>
    </row>
    <row r="9" spans="1:1" x14ac:dyDescent="0.25">
      <c r="A9" s="2"/>
    </row>
    <row r="10" spans="1:1" x14ac:dyDescent="0.25">
      <c r="A10" s="4" t="s">
        <v>7</v>
      </c>
    </row>
    <row r="11" spans="1:1" x14ac:dyDescent="0.25">
      <c r="A11" s="2"/>
    </row>
    <row r="12" spans="1:1" ht="16.5" customHeight="1" x14ac:dyDescent="0.25">
      <c r="A12" s="3" t="s">
        <v>8</v>
      </c>
    </row>
    <row r="13" spans="1:1" x14ac:dyDescent="0.25">
      <c r="A13" s="2" t="s">
        <v>9</v>
      </c>
    </row>
    <row r="14" spans="1:1" x14ac:dyDescent="0.25">
      <c r="A14" s="2" t="s">
        <v>10</v>
      </c>
    </row>
    <row r="15" spans="1:1" x14ac:dyDescent="0.25">
      <c r="A15" s="2"/>
    </row>
    <row r="16" spans="1:1" x14ac:dyDescent="0.25">
      <c r="A16" s="5" t="s">
        <v>11</v>
      </c>
    </row>
    <row r="17" spans="1:1" x14ac:dyDescent="0.25">
      <c r="A17" s="2"/>
    </row>
    <row r="18" spans="1:1" ht="16.5" customHeight="1" x14ac:dyDescent="0.25">
      <c r="A18" s="3" t="s">
        <v>12</v>
      </c>
    </row>
    <row r="19" spans="1:1" x14ac:dyDescent="0.25">
      <c r="A19" s="2" t="s">
        <v>13</v>
      </c>
    </row>
    <row r="20" spans="1:1" x14ac:dyDescent="0.25">
      <c r="A20" s="2" t="s">
        <v>14</v>
      </c>
    </row>
    <row r="21" spans="1:1" x14ac:dyDescent="0.25">
      <c r="A21" s="2" t="s">
        <v>15</v>
      </c>
    </row>
    <row r="23" spans="1:1" x14ac:dyDescent="0.25">
      <c r="A23" s="2"/>
    </row>
    <row r="24" spans="1:1" ht="20.25" x14ac:dyDescent="0.3">
      <c r="A24" s="6" t="s">
        <v>16</v>
      </c>
    </row>
    <row r="25" spans="1:1" x14ac:dyDescent="0.25">
      <c r="A25" s="2"/>
    </row>
    <row r="26" spans="1:1" x14ac:dyDescent="0.25">
      <c r="A26" s="2" t="s">
        <v>17</v>
      </c>
    </row>
    <row r="27" spans="1:1" x14ac:dyDescent="0.25">
      <c r="A27" s="2" t="s">
        <v>18</v>
      </c>
    </row>
    <row r="28" spans="1:1" x14ac:dyDescent="0.25">
      <c r="A28" s="2" t="s">
        <v>19</v>
      </c>
    </row>
    <row r="29" spans="1:1" x14ac:dyDescent="0.25">
      <c r="A29" s="2" t="s">
        <v>20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C368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O3" sqref="O1:O1048576"/>
    </sheetView>
  </sheetViews>
  <sheetFormatPr defaultColWidth="8.7109375" defaultRowHeight="15" x14ac:dyDescent="0.25"/>
  <cols>
    <col min="1" max="1" width="28" customWidth="1"/>
    <col min="2" max="2" width="24" customWidth="1"/>
    <col min="3" max="3" width="18" customWidth="1"/>
    <col min="4" max="4" width="8" customWidth="1"/>
    <col min="5" max="5" width="10" customWidth="1"/>
    <col min="6" max="6" width="8" customWidth="1"/>
    <col min="7" max="7" width="10" customWidth="1"/>
    <col min="8" max="8" width="8" customWidth="1"/>
    <col min="9" max="9" width="10" customWidth="1"/>
    <col min="10" max="10" width="8" customWidth="1"/>
    <col min="11" max="11" width="10" customWidth="1"/>
    <col min="12" max="12" width="8" customWidth="1"/>
    <col min="13" max="15" width="10" customWidth="1"/>
    <col min="27" max="29" width="13" hidden="1" customWidth="1"/>
  </cols>
  <sheetData>
    <row r="1" spans="1:29" ht="18" customHeight="1" x14ac:dyDescent="0.25">
      <c r="A1" s="42" t="s">
        <v>158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AA1" t="str">
        <f>IF(ISNUMBER(SEARCH("Junior",Barneveld!D4)),Barneveld!C4,"")</f>
        <v/>
      </c>
      <c r="AB1">
        <f>IF(AA1="",0,IF(COUNTIF($AA$1:AA1,AA1)=1,1,0))</f>
        <v>0</v>
      </c>
      <c r="AC1" t="str">
        <f>IF(AB1=1,COUNTIF($AB$1:AB1,1),"")</f>
        <v/>
      </c>
    </row>
    <row r="2" spans="1:29" x14ac:dyDescent="0.25">
      <c r="A2" s="43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AA2" t="str">
        <f>IF(ISNUMBER(SEARCH("Junior",Barneveld!D5)),Barneveld!C5,"")</f>
        <v/>
      </c>
      <c r="AB2">
        <f>IF(AA2="",0,IF(COUNTIF($AA$1:AA2,AA2)=1,1,0))</f>
        <v>0</v>
      </c>
      <c r="AC2" t="str">
        <f>IF(AB2=1,COUNTIF($AB$1:AB2,1),"")</f>
        <v/>
      </c>
    </row>
    <row r="3" spans="1:29" ht="30" customHeight="1" x14ac:dyDescent="0.25">
      <c r="A3" s="23" t="s">
        <v>27</v>
      </c>
      <c r="B3" s="23" t="s">
        <v>29</v>
      </c>
      <c r="C3" s="23" t="s">
        <v>28</v>
      </c>
      <c r="D3" s="23" t="s">
        <v>146</v>
      </c>
      <c r="E3" s="23" t="s">
        <v>147</v>
      </c>
      <c r="F3" s="23" t="s">
        <v>148</v>
      </c>
      <c r="G3" s="23" t="s">
        <v>149</v>
      </c>
      <c r="H3" s="35" t="s">
        <v>307</v>
      </c>
      <c r="I3" s="23" t="s">
        <v>150</v>
      </c>
      <c r="J3" s="23" t="s">
        <v>151</v>
      </c>
      <c r="K3" s="23" t="s">
        <v>152</v>
      </c>
      <c r="L3" s="23" t="s">
        <v>153</v>
      </c>
      <c r="M3" s="23" t="s">
        <v>154</v>
      </c>
      <c r="N3" s="23" t="s">
        <v>155</v>
      </c>
      <c r="O3" s="23" t="s">
        <v>25</v>
      </c>
      <c r="AA3" t="str">
        <f>IF(ISNUMBER(SEARCH("Junior",Barneveld!D6)),Barneveld!C6,"")</f>
        <v/>
      </c>
      <c r="AB3">
        <f>IF(AA3="",0,IF(COUNTIF($AA$1:AA3,AA3)=1,1,0))</f>
        <v>0</v>
      </c>
      <c r="AC3" t="str">
        <f>IF(AB3=1,COUNTIF($AB$1:AB3,1),"")</f>
        <v/>
      </c>
    </row>
    <row r="4" spans="1:29" x14ac:dyDescent="0.25">
      <c r="A4" s="13" t="str">
        <f>IFERROR(INDEX($AA$1:$AA$368,MATCH(2,$AC$1:$AC$368,0)),"")</f>
        <v>Nout Remeeus</v>
      </c>
      <c r="B4" s="13" t="str">
        <f>IF($A4="","",IF(IFERROR(INDEX(Barneveld!$E$4:$E$36,MATCH($A4,Barneveld!$C$4:$C$36,0)),"")&lt;&gt;"",IFERROR(INDEX(Barneveld!$E$4:$E$36,MATCH($A4,Barneveld!$C$4:$C$36,0)),""),IF(IFERROR(INDEX(Baarn!$F$4:$F$38,MATCH($A4,Baarn!$C$4:$C$38,0)),"")&lt;&gt;"",IFERROR(INDEX(Baarn!$F$4:$F$38,MATCH($A4,Baarn!$C$4:$C$38,0)),""),IF(IFERROR(INDEX(Scherpenzeel!$F$4:$F$103,MATCH($A4,Scherpenzeel!$C$4:$C$103,0)),"")&lt;&gt;"",IFERROR(INDEX(Scherpenzeel!$F$4:$F$103,MATCH($A4,Scherpenzeel!$C$4:$C$103,0)),""),IF(IFERROR(INDEX('4'!$F$4:$F$103,MATCH($A4,'4'!$C$4:$C$103,0)),"")&lt;&gt;"",IFERROR(INDEX('4'!$F$4:$F$103,MATCH($A4,'4'!$C$4:$C$103,0)),""),IFERROR(INDEX('5'!$F$4:$F$103,MATCH($A4,'5'!$C$4:$C$103,0)),""))))))</f>
        <v>GWC de Adelaar</v>
      </c>
      <c r="C4" s="13" t="str">
        <f>IF($A4="","",IF(IFERROR(INDEX(Barneveld!$D$4:$D$36,MATCH($A4,Barneveld!$C$4:$C$36,0)),"")&lt;&gt;"",IFERROR(INDEX(Barneveld!$D$4:$D$36,MATCH($A4,Barneveld!$C$4:$C$36,0)),""),IF(IFERROR(INDEX(Baarn!$E$4:$E$38,MATCH($A4,Baarn!$C$4:$C$38,0)),"")&lt;&gt;"",IFERROR(INDEX(Baarn!$E$4:$E$38,MATCH($A4,Baarn!$C$4:$C$38,0)),""),IF(IFERROR(INDEX(Scherpenzeel!$E$4:$E$103,MATCH($A4,Scherpenzeel!$C$4:$C$103,0)),"")&lt;&gt;"",IFERROR(INDEX(Scherpenzeel!$E$4:$E$103,MATCH($A4,Scherpenzeel!$C$4:$C$103,0)),""),IF(IFERROR(INDEX('4'!$E$4:$E$103,MATCH($A4,'4'!$C$4:$C$103,0)),"")&lt;&gt;"",IFERROR(INDEX('4'!$E$4:$E$103,MATCH($A4,'4'!$C$4:$C$103,0)),""),IFERROR(INDEX('5'!$E$4:$E$103,MATCH($A4,'5'!$C$4:$C$103,0)),""))))))</f>
        <v>Junior (U19)</v>
      </c>
      <c r="D4" s="24">
        <f>IF($A4="","",IFERROR(INDEX(Barneveld!$A$4:$A$36,MATCH($A4,Barneveld!$C$4:$C$36,0)),""))</f>
        <v>16</v>
      </c>
      <c r="E4" s="15">
        <f>IF($A4="",0,IFERROR(INDEX(Barneveld!$H$4:$H$36,MATCH($A4,Barneveld!$C$4:$C$36,0)),0))</f>
        <v>35</v>
      </c>
      <c r="F4" s="24">
        <f>IF($A4="","",IFERROR(INDEX(Baarn!$A$4:$A$38,MATCH($A4,Baarn!$C$4:$C$38,0)),""))</f>
        <v>11</v>
      </c>
      <c r="G4" s="15">
        <f>IF($A4="",0,IFERROR(INDEX(Baarn!$I$4:$I$38,MATCH($A4,Baarn!$C$4:$C$38,0)),0))</f>
        <v>50</v>
      </c>
      <c r="H4" s="24" t="str">
        <f>IF($A4="","",IFERROR(INDEX(Scherpenzeel!$A$4:$A$103,MATCH($A4,Scherpenzeel!$C$4:$C$103,0)),""))</f>
        <v>15</v>
      </c>
      <c r="I4" s="15">
        <v>38</v>
      </c>
      <c r="J4" s="24" t="str">
        <f>IF($A4="","",IFERROR(INDEX('4'!$A$4:$A$103,MATCH($A4,'4'!$C$4:$C$103,0)),""))</f>
        <v/>
      </c>
      <c r="K4" s="15">
        <f>IF($A4="",0,IFERROR(INDEX('4'!$I$4:$I$103,MATCH($A4,'4'!$C$4:$C$103,0)),0))</f>
        <v>0</v>
      </c>
      <c r="L4" s="24" t="str">
        <f>IF($A4="","",IFERROR(INDEX('5'!$A$4:$A$103,MATCH($A4,'5'!$C$4:$C$103,0)),""))</f>
        <v/>
      </c>
      <c r="M4" s="15">
        <f>IF($A4="",0,IFERROR(INDEX('5'!$I$4:$I$103,MATCH($A4,'5'!$C$4:$C$103,0)),0))</f>
        <v>0</v>
      </c>
      <c r="N4" s="25">
        <f t="shared" ref="N4:N35" si="0">IF($A4="","",E4+G4+I4+K4+M4)</f>
        <v>123</v>
      </c>
      <c r="O4" s="26">
        <f t="shared" ref="O4:O35" si="1">IF(OR($A4="",N4="",N4=0),"",RANK(N4,$N$4:$N$203,0))</f>
        <v>1</v>
      </c>
      <c r="AA4" t="str">
        <f>IF(ISNUMBER(SEARCH("Junior",Barneveld!D7)),Barneveld!C7,"")</f>
        <v/>
      </c>
      <c r="AB4">
        <f>IF(AA4="",0,IF(COUNTIF($AA$1:AA4,AA4)=1,1,0))</f>
        <v>0</v>
      </c>
      <c r="AC4" t="str">
        <f>IF(AB4=1,COUNTIF($AB$1:AB4,1),"")</f>
        <v/>
      </c>
    </row>
    <row r="5" spans="1:29" x14ac:dyDescent="0.25">
      <c r="A5" s="13" t="str">
        <f>IFERROR(INDEX($AA$1:$AA$368,MATCH(4,$AC$1:$AC$368,0)),"")</f>
        <v>Florijn van der Vliet</v>
      </c>
      <c r="B5" s="13" t="str">
        <f>IF($A5="","",IF(IFERROR(INDEX(Barneveld!$E$4:$E$36,MATCH($A5,Barneveld!$C$4:$C$36,0)),"")&lt;&gt;"",IFERROR(INDEX(Barneveld!$E$4:$E$36,MATCH($A5,Barneveld!$C$4:$C$36,0)),""),IF(IFERROR(INDEX(Baarn!$F$4:$F$38,MATCH($A5,Baarn!$C$4:$C$38,0)),"")&lt;&gt;"",IFERROR(INDEX(Baarn!$F$4:$F$38,MATCH($A5,Baarn!$C$4:$C$38,0)),""),IF(IFERROR(INDEX(Scherpenzeel!$F$4:$F$103,MATCH($A5,Scherpenzeel!$C$4:$C$103,0)),"")&lt;&gt;"",IFERROR(INDEX(Scherpenzeel!$F$4:$F$103,MATCH($A5,Scherpenzeel!$C$4:$C$103,0)),""),IF(IFERROR(INDEX('4'!$F$4:$F$103,MATCH($A5,'4'!$C$4:$C$103,0)),"")&lt;&gt;"",IFERROR(INDEX('4'!$F$4:$F$103,MATCH($A5,'4'!$C$4:$C$103,0)),""),IFERROR(INDEX('5'!$F$4:$F$103,MATCH($A5,'5'!$C$4:$C$103,0)),""))))))</f>
        <v>W.V. Eemland</v>
      </c>
      <c r="C5" s="13" t="str">
        <f>IF($A5="","",IF(IFERROR(INDEX(Barneveld!$D$4:$D$36,MATCH($A5,Barneveld!$C$4:$C$36,0)),"")&lt;&gt;"",IFERROR(INDEX(Barneveld!$D$4:$D$36,MATCH($A5,Barneveld!$C$4:$C$36,0)),""),IF(IFERROR(INDEX(Baarn!$E$4:$E$38,MATCH($A5,Baarn!$C$4:$C$38,0)),"")&lt;&gt;"",IFERROR(INDEX(Baarn!$E$4:$E$38,MATCH($A5,Baarn!$C$4:$C$38,0)),""),IF(IFERROR(INDEX(Scherpenzeel!$E$4:$E$103,MATCH($A5,Scherpenzeel!$C$4:$C$103,0)),"")&lt;&gt;"",IFERROR(INDEX(Scherpenzeel!$E$4:$E$103,MATCH($A5,Scherpenzeel!$C$4:$C$103,0)),""),IF(IFERROR(INDEX('4'!$E$4:$E$103,MATCH($A5,'4'!$C$4:$C$103,0)),"")&lt;&gt;"",IFERROR(INDEX('4'!$E$4:$E$103,MATCH($A5,'4'!$C$4:$C$103,0)),""),IFERROR(INDEX('5'!$E$4:$E$103,MATCH($A5,'5'!$C$4:$C$103,0)),""))))))</f>
        <v>Junior (U19)</v>
      </c>
      <c r="D5" s="24" t="str">
        <f>IF($A5="","",IFERROR(INDEX(Barneveld!$A$4:$A$36,MATCH($A5,Barneveld!$C$4:$C$36,0)),""))</f>
        <v/>
      </c>
      <c r="E5" s="15">
        <f>IF($A5="",0,IFERROR(INDEX(Barneveld!$H$4:$H$36,MATCH($A5,Barneveld!$C$4:$C$36,0)),0))</f>
        <v>0</v>
      </c>
      <c r="F5" s="24">
        <f>IF($A5="","",IFERROR(INDEX(Baarn!$A$4:$A$38,MATCH($A5,Baarn!$C$4:$C$38,0)),""))</f>
        <v>1</v>
      </c>
      <c r="G5" s="15">
        <f>IF($A5="",0,IFERROR(INDEX(Baarn!$I$4:$I$38,MATCH($A5,Baarn!$C$4:$C$38,0)),0))</f>
        <v>100.1</v>
      </c>
      <c r="H5" s="24" t="str">
        <f>IF($A5="","",IFERROR(INDEX(Scherpenzeel!$A$4:$A$103,MATCH($A5,Scherpenzeel!$C$4:$C$103,0)),""))</f>
        <v/>
      </c>
      <c r="I5" s="15">
        <f>IF($A5="",0,IFERROR(INDEX(Scherpenzeel!$I$4:$I$103,MATCH($A5,Scherpenzeel!$C$4:$C$103,0)),0))</f>
        <v>0</v>
      </c>
      <c r="J5" s="24" t="str">
        <f>IF($A5="","",IFERROR(INDEX('4'!$A$4:$A$103,MATCH($A5,'4'!$C$4:$C$103,0)),""))</f>
        <v/>
      </c>
      <c r="K5" s="15">
        <f>IF($A5="",0,IFERROR(INDEX('4'!$I$4:$I$103,MATCH($A5,'4'!$C$4:$C$103,0)),0))</f>
        <v>0</v>
      </c>
      <c r="L5" s="24" t="str">
        <f>IF($A5="","",IFERROR(INDEX('5'!$A$4:$A$103,MATCH($A5,'5'!$C$4:$C$103,0)),""))</f>
        <v/>
      </c>
      <c r="M5" s="15">
        <f>IF($A5="",0,IFERROR(INDEX('5'!$I$4:$I$103,MATCH($A5,'5'!$C$4:$C$103,0)),0))</f>
        <v>0</v>
      </c>
      <c r="N5" s="25">
        <f t="shared" si="0"/>
        <v>100.1</v>
      </c>
      <c r="O5" s="26">
        <f t="shared" si="1"/>
        <v>2</v>
      </c>
      <c r="AA5" t="str">
        <f>IF(ISNUMBER(SEARCH("Junior",Barneveld!D8)),Barneveld!C8,"")</f>
        <v/>
      </c>
      <c r="AB5">
        <f>IF(AA5="",0,IF(COUNTIF($AA$1:AA5,AA5)=1,1,0))</f>
        <v>0</v>
      </c>
      <c r="AC5" t="str">
        <f>IF(AB5=1,COUNTIF($AB$1:AB5,1),"")</f>
        <v/>
      </c>
    </row>
    <row r="6" spans="1:29" x14ac:dyDescent="0.25">
      <c r="A6" s="13" t="str">
        <f>IFERROR(INDEX($AA$1:$AA$368,MATCH(5,$AC$1:$AC$368,0)),"")</f>
        <v>Niek Bos</v>
      </c>
      <c r="B6" s="13" t="str">
        <f>IF($A6="","",IF(IFERROR(INDEX(Barneveld!$E$4:$E$36,MATCH($A6,Barneveld!$C$4:$C$36,0)),"")&lt;&gt;"",IFERROR(INDEX(Barneveld!$E$4:$E$36,MATCH($A6,Barneveld!$C$4:$C$36,0)),""),IF(IFERROR(INDEX(Baarn!$F$4:$F$38,MATCH($A6,Baarn!$C$4:$C$38,0)),"")&lt;&gt;"",IFERROR(INDEX(Baarn!$F$4:$F$38,MATCH($A6,Baarn!$C$4:$C$38,0)),""),IF(IFERROR(INDEX(Scherpenzeel!$F$4:$F$103,MATCH($A6,Scherpenzeel!$C$4:$C$103,0)),"")&lt;&gt;"",IFERROR(INDEX(Scherpenzeel!$F$4:$F$103,MATCH($A6,Scherpenzeel!$C$4:$C$103,0)),""),IF(IFERROR(INDEX('4'!$F$4:$F$103,MATCH($A6,'4'!$C$4:$C$103,0)),"")&lt;&gt;"",IFERROR(INDEX('4'!$F$4:$F$103,MATCH($A6,'4'!$C$4:$C$103,0)),""),IFERROR(INDEX('5'!$F$4:$F$103,MATCH($A6,'5'!$C$4:$C$103,0)),""))))))</f>
        <v>W.V. Eemland</v>
      </c>
      <c r="C6" s="13" t="str">
        <f>IF($A6="","",IF(IFERROR(INDEX(Barneveld!$D$4:$D$36,MATCH($A6,Barneveld!$C$4:$C$36,0)),"")&lt;&gt;"",IFERROR(INDEX(Barneveld!$D$4:$D$36,MATCH($A6,Barneveld!$C$4:$C$36,0)),""),IF(IFERROR(INDEX(Baarn!$E$4:$E$38,MATCH($A6,Baarn!$C$4:$C$38,0)),"")&lt;&gt;"",IFERROR(INDEX(Baarn!$E$4:$E$38,MATCH($A6,Baarn!$C$4:$C$38,0)),""),IF(IFERROR(INDEX(Scherpenzeel!$E$4:$E$103,MATCH($A6,Scherpenzeel!$C$4:$C$103,0)),"")&lt;&gt;"",IFERROR(INDEX(Scherpenzeel!$E$4:$E$103,MATCH($A6,Scherpenzeel!$C$4:$C$103,0)),""),IF(IFERROR(INDEX('4'!$E$4:$E$103,MATCH($A6,'4'!$C$4:$C$103,0)),"")&lt;&gt;"",IFERROR(INDEX('4'!$E$4:$E$103,MATCH($A6,'4'!$C$4:$C$103,0)),""),IFERROR(INDEX('5'!$E$4:$E$103,MATCH($A6,'5'!$C$4:$C$103,0)),""))))))</f>
        <v>Junior (U19)</v>
      </c>
      <c r="D6" s="24" t="str">
        <f>IF($A6="","",IFERROR(INDEX(Barneveld!$A$4:$A$36,MATCH($A6,Barneveld!$C$4:$C$36,0)),""))</f>
        <v/>
      </c>
      <c r="E6" s="15">
        <f>IF($A6="",0,IFERROR(INDEX(Barneveld!$H$4:$H$36,MATCH($A6,Barneveld!$C$4:$C$36,0)),0))</f>
        <v>0</v>
      </c>
      <c r="F6" s="24">
        <f>IF($A6="","",IFERROR(INDEX(Baarn!$A$4:$A$38,MATCH($A6,Baarn!$C$4:$C$38,0)),""))</f>
        <v>2</v>
      </c>
      <c r="G6" s="15">
        <f>IF($A6="",0,IFERROR(INDEX(Baarn!$I$4:$I$38,MATCH($A6,Baarn!$C$4:$C$38,0)),0))</f>
        <v>90</v>
      </c>
      <c r="H6" s="24" t="str">
        <f>IF($A6="","",IFERROR(INDEX(Scherpenzeel!$A$4:$A$103,MATCH($A6,Scherpenzeel!$C$4:$C$103,0)),""))</f>
        <v/>
      </c>
      <c r="I6" s="15">
        <f>IF($A6="",0,IFERROR(INDEX(Scherpenzeel!$I$4:$I$103,MATCH($A6,Scherpenzeel!$C$4:$C$103,0)),0))</f>
        <v>0</v>
      </c>
      <c r="J6" s="24" t="str">
        <f>IF($A6="","",IFERROR(INDEX('4'!$A$4:$A$103,MATCH($A6,'4'!$C$4:$C$103,0)),""))</f>
        <v/>
      </c>
      <c r="K6" s="15">
        <f>IF($A6="",0,IFERROR(INDEX('4'!$I$4:$I$103,MATCH($A6,'4'!$C$4:$C$103,0)),0))</f>
        <v>0</v>
      </c>
      <c r="L6" s="24" t="str">
        <f>IF($A6="","",IFERROR(INDEX('5'!$A$4:$A$103,MATCH($A6,'5'!$C$4:$C$103,0)),""))</f>
        <v/>
      </c>
      <c r="M6" s="15">
        <f>IF($A6="",0,IFERROR(INDEX('5'!$I$4:$I$103,MATCH($A6,'5'!$C$4:$C$103,0)),0))</f>
        <v>0</v>
      </c>
      <c r="N6" s="25">
        <f t="shared" si="0"/>
        <v>90</v>
      </c>
      <c r="O6" s="26">
        <f t="shared" si="1"/>
        <v>3</v>
      </c>
      <c r="AA6" t="str">
        <f>IF(ISNUMBER(SEARCH("Junior",Barneveld!D9)),Barneveld!C9,"")</f>
        <v/>
      </c>
      <c r="AB6">
        <f>IF(AA6="",0,IF(COUNTIF($AA$1:AA6,AA6)=1,1,0))</f>
        <v>0</v>
      </c>
      <c r="AC6" t="str">
        <f>IF(AB6=1,COUNTIF($AB$1:AB6,1),"")</f>
        <v/>
      </c>
    </row>
    <row r="7" spans="1:29" x14ac:dyDescent="0.25">
      <c r="A7" s="13" t="str">
        <f>IFERROR(INDEX($AA$1:$AA$368,MATCH(14,$AC$1:$AC$368,0)),"")</f>
        <v>Lennart Nelisse</v>
      </c>
      <c r="B7" s="13" t="str">
        <f>IF($A7="","",IF(IFERROR(INDEX(Barneveld!$E$4:$E$36,MATCH($A7,Barneveld!$C$4:$C$36,0)),"")&lt;&gt;"",IFERROR(INDEX(Barneveld!$E$4:$E$36,MATCH($A7,Barneveld!$C$4:$C$36,0)),""),IF(IFERROR(INDEX(Baarn!$F$4:$F$38,MATCH($A7,Baarn!$C$4:$C$38,0)),"")&lt;&gt;"",IFERROR(INDEX(Baarn!$F$4:$F$38,MATCH($A7,Baarn!$C$4:$C$38,0)),""),IF(IFERROR(INDEX(Scherpenzeel!$F$4:$F$103,MATCH($A7,Scherpenzeel!$C$4:$C$103,0)),"")&lt;&gt;"",IFERROR(INDEX(Scherpenzeel!$F$4:$F$103,MATCH($A7,Scherpenzeel!$C$4:$C$103,0)),""),IF(IFERROR(INDEX('4'!$F$4:$F$103,MATCH($A7,'4'!$C$4:$C$103,0)),"")&lt;&gt;"",IFERROR(INDEX('4'!$F$4:$F$103,MATCH($A7,'4'!$C$4:$C$103,0)),""),IFERROR(INDEX('5'!$F$4:$F$103,MATCH($A7,'5'!$C$4:$C$103,0)),""))))))</f>
        <v>Westland Wil Vooruit</v>
      </c>
      <c r="C7" s="13" t="str">
        <f>IF($A7="","",IF(IFERROR(INDEX(Barneveld!$D$4:$D$36,MATCH($A7,Barneveld!$C$4:$C$36,0)),"")&lt;&gt;"",IFERROR(INDEX(Barneveld!$D$4:$D$36,MATCH($A7,Barneveld!$C$4:$C$36,0)),""),IF(IFERROR(INDEX(Baarn!$E$4:$E$38,MATCH($A7,Baarn!$C$4:$C$38,0)),"")&lt;&gt;"",IFERROR(INDEX(Baarn!$E$4:$E$38,MATCH($A7,Baarn!$C$4:$C$38,0)),""),IF(IFERROR(INDEX(Scherpenzeel!$E$4:$E$103,MATCH($A7,Scherpenzeel!$C$4:$C$103,0)),"")&lt;&gt;"",IFERROR(INDEX(Scherpenzeel!$E$4:$E$103,MATCH($A7,Scherpenzeel!$C$4:$C$103,0)),""),IF(IFERROR(INDEX('4'!$E$4:$E$103,MATCH($A7,'4'!$C$4:$C$103,0)),"")&lt;&gt;"",IFERROR(INDEX('4'!$E$4:$E$103,MATCH($A7,'4'!$C$4:$C$103,0)),""),IFERROR(INDEX('5'!$E$4:$E$103,MATCH($A7,'5'!$C$4:$C$103,0)),""))))))</f>
        <v>Junior (U19)</v>
      </c>
      <c r="D7" s="24" t="str">
        <f>IF($A7="","",IFERROR(INDEX(Barneveld!$A$4:$A$36,MATCH($A7,Barneveld!$C$4:$C$36,0)),""))</f>
        <v/>
      </c>
      <c r="E7" s="15">
        <f>IF($A7="",0,IFERROR(INDEX(Barneveld!$H$4:$H$36,MATCH($A7,Barneveld!$C$4:$C$36,0)),0))</f>
        <v>0</v>
      </c>
      <c r="F7" s="24" t="str">
        <f>IF($A7="","",IFERROR(INDEX(Baarn!$A$4:$A$38,MATCH($A7,Baarn!$C$4:$C$38,0)),""))</f>
        <v/>
      </c>
      <c r="G7" s="15">
        <f>IF($A7="",0,IFERROR(INDEX(Baarn!$I$4:$I$38,MATCH($A7,Baarn!$C$4:$C$38,0)),0))</f>
        <v>0</v>
      </c>
      <c r="H7" s="24">
        <f>IF($A7="","",IFERROR(INDEX(Scherpenzeel!$A$4:$A$103,MATCH($A7,Scherpenzeel!$C$4:$C$103,0)),""))</f>
        <v>2</v>
      </c>
      <c r="I7" s="15">
        <f>IF($A7="",0,IFERROR(INDEX(Scherpenzeel!$I$4:$I$103,MATCH($A7,Scherpenzeel!$C$4:$C$103,0)),0))</f>
        <v>90</v>
      </c>
      <c r="J7" s="24" t="str">
        <f>IF($A7="","",IFERROR(INDEX('4'!$A$4:$A$103,MATCH($A7,'4'!$C$4:$C$103,0)),""))</f>
        <v/>
      </c>
      <c r="K7" s="15">
        <f>IF($A7="",0,IFERROR(INDEX('4'!$I$4:$I$103,MATCH($A7,'4'!$C$4:$C$103,0)),0))</f>
        <v>0</v>
      </c>
      <c r="L7" s="24" t="str">
        <f>IF($A7="","",IFERROR(INDEX('5'!$A$4:$A$103,MATCH($A7,'5'!$C$4:$C$103,0)),""))</f>
        <v/>
      </c>
      <c r="M7" s="15">
        <f>IF($A7="",0,IFERROR(INDEX('5'!$I$4:$I$103,MATCH($A7,'5'!$C$4:$C$103,0)),0))</f>
        <v>0</v>
      </c>
      <c r="N7" s="25">
        <f t="shared" si="0"/>
        <v>90</v>
      </c>
      <c r="O7" s="26">
        <f t="shared" si="1"/>
        <v>3</v>
      </c>
      <c r="AA7" t="str">
        <f>IF(ISNUMBER(SEARCH("Junior",Barneveld!D10)),Barneveld!C10,"")</f>
        <v/>
      </c>
      <c r="AB7">
        <f>IF(AA7="",0,IF(COUNTIF($AA$1:AA7,AA7)=1,1,0))</f>
        <v>0</v>
      </c>
      <c r="AC7" t="str">
        <f>IF(AB7=1,COUNTIF($AB$1:AB7,1),"")</f>
        <v/>
      </c>
    </row>
    <row r="8" spans="1:29" x14ac:dyDescent="0.25">
      <c r="A8" s="13" t="str">
        <f>IFERROR(INDEX($AA$1:$AA$368,MATCH(6,$AC$1:$AC$368,0)),"")</f>
        <v>Noery Weber</v>
      </c>
      <c r="B8" s="13" t="str">
        <f>IF($A8="","",IF(IFERROR(INDEX(Barneveld!$E$4:$E$36,MATCH($A8,Barneveld!$C$4:$C$36,0)),"")&lt;&gt;"",IFERROR(INDEX(Barneveld!$E$4:$E$36,MATCH($A8,Barneveld!$C$4:$C$36,0)),""),IF(IFERROR(INDEX(Baarn!$F$4:$F$38,MATCH($A8,Baarn!$C$4:$C$38,0)),"")&lt;&gt;"",IFERROR(INDEX(Baarn!$F$4:$F$38,MATCH($A8,Baarn!$C$4:$C$38,0)),""),IF(IFERROR(INDEX(Scherpenzeel!$F$4:$F$103,MATCH($A8,Scherpenzeel!$C$4:$C$103,0)),"")&lt;&gt;"",IFERROR(INDEX(Scherpenzeel!$F$4:$F$103,MATCH($A8,Scherpenzeel!$C$4:$C$103,0)),""),IF(IFERROR(INDEX('4'!$F$4:$F$103,MATCH($A8,'4'!$C$4:$C$103,0)),"")&lt;&gt;"",IFERROR(INDEX('4'!$F$4:$F$103,MATCH($A8,'4'!$C$4:$C$103,0)),""),IFERROR(INDEX('5'!$F$4:$F$103,MATCH($A8,'5'!$C$4:$C$103,0)),""))))))</f>
        <v>ASC Olympia</v>
      </c>
      <c r="C8" s="13" t="str">
        <f>IF($A8="","",IF(IFERROR(INDEX(Barneveld!$D$4:$D$36,MATCH($A8,Barneveld!$C$4:$C$36,0)),"")&lt;&gt;"",IFERROR(INDEX(Barneveld!$D$4:$D$36,MATCH($A8,Barneveld!$C$4:$C$36,0)),""),IF(IFERROR(INDEX(Baarn!$E$4:$E$38,MATCH($A8,Baarn!$C$4:$C$38,0)),"")&lt;&gt;"",IFERROR(INDEX(Baarn!$E$4:$E$38,MATCH($A8,Baarn!$C$4:$C$38,0)),""),IF(IFERROR(INDEX(Scherpenzeel!$E$4:$E$103,MATCH($A8,Scherpenzeel!$C$4:$C$103,0)),"")&lt;&gt;"",IFERROR(INDEX(Scherpenzeel!$E$4:$E$103,MATCH($A8,Scherpenzeel!$C$4:$C$103,0)),""),IF(IFERROR(INDEX('4'!$E$4:$E$103,MATCH($A8,'4'!$C$4:$C$103,0)),"")&lt;&gt;"",IFERROR(INDEX('4'!$E$4:$E$103,MATCH($A8,'4'!$C$4:$C$103,0)),""),IFERROR(INDEX('5'!$E$4:$E$103,MATCH($A8,'5'!$C$4:$C$103,0)),""))))))</f>
        <v>Junior (U19)</v>
      </c>
      <c r="D8" s="24" t="str">
        <f>IF($A8="","",IFERROR(INDEX(Barneveld!$A$4:$A$36,MATCH($A8,Barneveld!$C$4:$C$36,0)),""))</f>
        <v/>
      </c>
      <c r="E8" s="15">
        <f>IF($A8="",0,IFERROR(INDEX(Barneveld!$H$4:$H$36,MATCH($A8,Barneveld!$C$4:$C$36,0)),0))</f>
        <v>0</v>
      </c>
      <c r="F8" s="24">
        <f>IF($A8="","",IFERROR(INDEX(Baarn!$A$4:$A$38,MATCH($A8,Baarn!$C$4:$C$38,0)),""))</f>
        <v>7</v>
      </c>
      <c r="G8" s="15">
        <f>IF($A8="",0,IFERROR(INDEX(Baarn!$I$4:$I$38,MATCH($A8,Baarn!$C$4:$C$38,0)),0))</f>
        <v>66</v>
      </c>
      <c r="H8" s="24" t="str">
        <f>IF($A8="","",IFERROR(INDEX(Scherpenzeel!$A$4:$A$103,MATCH($A8,Scherpenzeel!$C$4:$C$103,0)),""))</f>
        <v/>
      </c>
      <c r="I8" s="15">
        <f>IF($A8="",0,IFERROR(INDEX(Scherpenzeel!$I$4:$I$103,MATCH($A8,Scherpenzeel!$C$4:$C$103,0)),0))</f>
        <v>0</v>
      </c>
      <c r="J8" s="24" t="str">
        <f>IF($A8="","",IFERROR(INDEX('4'!$A$4:$A$103,MATCH($A8,'4'!$C$4:$C$103,0)),""))</f>
        <v/>
      </c>
      <c r="K8" s="15">
        <f>IF($A8="",0,IFERROR(INDEX('4'!$I$4:$I$103,MATCH($A8,'4'!$C$4:$C$103,0)),0))</f>
        <v>0</v>
      </c>
      <c r="L8" s="24" t="str">
        <f>IF($A8="","",IFERROR(INDEX('5'!$A$4:$A$103,MATCH($A8,'5'!$C$4:$C$103,0)),""))</f>
        <v/>
      </c>
      <c r="M8" s="15">
        <f>IF($A8="",0,IFERROR(INDEX('5'!$I$4:$I$103,MATCH($A8,'5'!$C$4:$C$103,0)),0))</f>
        <v>0</v>
      </c>
      <c r="N8" s="25">
        <f t="shared" si="0"/>
        <v>66</v>
      </c>
      <c r="O8" s="26">
        <f t="shared" si="1"/>
        <v>5</v>
      </c>
      <c r="AA8" t="str">
        <f>IF(ISNUMBER(SEARCH("Junior",Barneveld!D11)),Barneveld!C11,"")</f>
        <v/>
      </c>
      <c r="AB8">
        <f>IF(AA8="",0,IF(COUNTIF($AA$1:AA8,AA8)=1,1,0))</f>
        <v>0</v>
      </c>
      <c r="AC8" t="str">
        <f>IF(AB8=1,COUNTIF($AB$1:AB8,1),"")</f>
        <v/>
      </c>
    </row>
    <row r="9" spans="1:29" x14ac:dyDescent="0.25">
      <c r="A9" s="13" t="str">
        <f>IFERROR(INDEX($AA$1:$AA$368,MATCH(7,$AC$1:$AC$368,0)),"")</f>
        <v>Lars de Weert</v>
      </c>
      <c r="B9" s="13" t="str">
        <f>IF($A9="","",IF(IFERROR(INDEX(Barneveld!$E$4:$E$36,MATCH($A9,Barneveld!$C$4:$C$36,0)),"")&lt;&gt;"",IFERROR(INDEX(Barneveld!$E$4:$E$36,MATCH($A9,Barneveld!$C$4:$C$36,0)),""),IF(IFERROR(INDEX(Baarn!$F$4:$F$38,MATCH($A9,Baarn!$C$4:$C$38,0)),"")&lt;&gt;"",IFERROR(INDEX(Baarn!$F$4:$F$38,MATCH($A9,Baarn!$C$4:$C$38,0)),""),IF(IFERROR(INDEX(Scherpenzeel!$F$4:$F$103,MATCH($A9,Scherpenzeel!$C$4:$C$103,0)),"")&lt;&gt;"",IFERROR(INDEX(Scherpenzeel!$F$4:$F$103,MATCH($A9,Scherpenzeel!$C$4:$C$103,0)),""),IF(IFERROR(INDEX('4'!$F$4:$F$103,MATCH($A9,'4'!$C$4:$C$103,0)),"")&lt;&gt;"",IFERROR(INDEX('4'!$F$4:$F$103,MATCH($A9,'4'!$C$4:$C$103,0)),""),IFERROR(INDEX('5'!$F$4:$F$103,MATCH($A9,'5'!$C$4:$C$103,0)),""))))))</f>
        <v>ASC Olympia</v>
      </c>
      <c r="C9" s="13" t="str">
        <f>IF($A9="","",IF(IFERROR(INDEX(Barneveld!$D$4:$D$36,MATCH($A9,Barneveld!$C$4:$C$36,0)),"")&lt;&gt;"",IFERROR(INDEX(Barneveld!$D$4:$D$36,MATCH($A9,Barneveld!$C$4:$C$36,0)),""),IF(IFERROR(INDEX(Baarn!$E$4:$E$38,MATCH($A9,Baarn!$C$4:$C$38,0)),"")&lt;&gt;"",IFERROR(INDEX(Baarn!$E$4:$E$38,MATCH($A9,Baarn!$C$4:$C$38,0)),""),IF(IFERROR(INDEX(Scherpenzeel!$E$4:$E$103,MATCH($A9,Scherpenzeel!$C$4:$C$103,0)),"")&lt;&gt;"",IFERROR(INDEX(Scherpenzeel!$E$4:$E$103,MATCH($A9,Scherpenzeel!$C$4:$C$103,0)),""),IF(IFERROR(INDEX('4'!$E$4:$E$103,MATCH($A9,'4'!$C$4:$C$103,0)),"")&lt;&gt;"",IFERROR(INDEX('4'!$E$4:$E$103,MATCH($A9,'4'!$C$4:$C$103,0)),""),IFERROR(INDEX('5'!$E$4:$E$103,MATCH($A9,'5'!$C$4:$C$103,0)),""))))))</f>
        <v>Junior (U19)</v>
      </c>
      <c r="D9" s="24" t="str">
        <f>IF($A9="","",IFERROR(INDEX(Barneveld!$A$4:$A$36,MATCH($A9,Barneveld!$C$4:$C$36,0)),""))</f>
        <v/>
      </c>
      <c r="E9" s="15">
        <f>IF($A9="",0,IFERROR(INDEX(Barneveld!$H$4:$H$36,MATCH($A9,Barneveld!$C$4:$C$36,0)),0))</f>
        <v>0</v>
      </c>
      <c r="F9" s="24">
        <f>IF($A9="","",IFERROR(INDEX(Baarn!$A$4:$A$38,MATCH($A9,Baarn!$C$4:$C$38,0)),""))</f>
        <v>8</v>
      </c>
      <c r="G9" s="15">
        <f>IF($A9="",0,IFERROR(INDEX(Baarn!$I$4:$I$38,MATCH($A9,Baarn!$C$4:$C$38,0)),0))</f>
        <v>62</v>
      </c>
      <c r="H9" s="24" t="str">
        <f>IF($A9="","",IFERROR(INDEX(Scherpenzeel!$A$4:$A$103,MATCH($A9,Scherpenzeel!$C$4:$C$103,0)),""))</f>
        <v/>
      </c>
      <c r="I9" s="15">
        <f>IF($A9="",0,IFERROR(INDEX(Scherpenzeel!$I$4:$I$103,MATCH($A9,Scherpenzeel!$C$4:$C$103,0)),0))</f>
        <v>0</v>
      </c>
      <c r="J9" s="24" t="str">
        <f>IF($A9="","",IFERROR(INDEX('4'!$A$4:$A$103,MATCH($A9,'4'!$C$4:$C$103,0)),""))</f>
        <v/>
      </c>
      <c r="K9" s="15">
        <f>IF($A9="",0,IFERROR(INDEX('4'!$I$4:$I$103,MATCH($A9,'4'!$C$4:$C$103,0)),0))</f>
        <v>0</v>
      </c>
      <c r="L9" s="24" t="str">
        <f>IF($A9="","",IFERROR(INDEX('5'!$A$4:$A$103,MATCH($A9,'5'!$C$4:$C$103,0)),""))</f>
        <v/>
      </c>
      <c r="M9" s="15">
        <f>IF($A9="",0,IFERROR(INDEX('5'!$I$4:$I$103,MATCH($A9,'5'!$C$4:$C$103,0)),0))</f>
        <v>0</v>
      </c>
      <c r="N9" s="25">
        <f t="shared" si="0"/>
        <v>62</v>
      </c>
      <c r="O9" s="26">
        <f t="shared" si="1"/>
        <v>6</v>
      </c>
      <c r="AA9" t="str">
        <f>IF(ISNUMBER(SEARCH("Junior",Barneveld!D12)),Barneveld!C12,"")</f>
        <v/>
      </c>
      <c r="AB9">
        <f>IF(AA9="",0,IF(COUNTIF($AA$1:AA9,AA9)=1,1,0))</f>
        <v>0</v>
      </c>
      <c r="AC9" t="str">
        <f>IF(AB9=1,COUNTIF($AB$1:AB9,1),"")</f>
        <v/>
      </c>
    </row>
    <row r="10" spans="1:29" x14ac:dyDescent="0.25">
      <c r="A10" s="13" t="str">
        <f>IFERROR(INDEX($AA$1:$AA$368,MATCH(1,$AC$1:$AC$368,0)),"")</f>
        <v>Julian Dingemans</v>
      </c>
      <c r="B10" s="13" t="str">
        <f>IF($A10="","",IF(IFERROR(INDEX(Barneveld!$E$4:$E$36,MATCH($A10,Barneveld!$C$4:$C$36,0)),"")&lt;&gt;"",IFERROR(INDEX(Barneveld!$E$4:$E$36,MATCH($A10,Barneveld!$C$4:$C$36,0)),""),IF(IFERROR(INDEX(Baarn!$F$4:$F$38,MATCH($A10,Baarn!$C$4:$C$38,0)),"")&lt;&gt;"",IFERROR(INDEX(Baarn!$F$4:$F$38,MATCH($A10,Baarn!$C$4:$C$38,0)),""),IF(IFERROR(INDEX(Scherpenzeel!$F$4:$F$103,MATCH($A10,Scherpenzeel!$C$4:$C$103,0)),"")&lt;&gt;"",IFERROR(INDEX(Scherpenzeel!$F$4:$F$103,MATCH($A10,Scherpenzeel!$C$4:$C$103,0)),""),IF(IFERROR(INDEX('4'!$F$4:$F$103,MATCH($A10,'4'!$C$4:$C$103,0)),"")&lt;&gt;"",IFERROR(INDEX('4'!$F$4:$F$103,MATCH($A10,'4'!$C$4:$C$103,0)),""),IFERROR(INDEX('5'!$F$4:$F$103,MATCH($A10,'5'!$C$4:$C$103,0)),""))))))</f>
        <v>Willebrord Wil Vooruit</v>
      </c>
      <c r="C10" s="13" t="str">
        <f>IF($A10="","",IF(IFERROR(INDEX(Barneveld!$D$4:$D$36,MATCH($A10,Barneveld!$C$4:$C$36,0)),"")&lt;&gt;"",IFERROR(INDEX(Barneveld!$D$4:$D$36,MATCH($A10,Barneveld!$C$4:$C$36,0)),""),IF(IFERROR(INDEX(Baarn!$E$4:$E$38,MATCH($A10,Baarn!$C$4:$C$38,0)),"")&lt;&gt;"",IFERROR(INDEX(Baarn!$E$4:$E$38,MATCH($A10,Baarn!$C$4:$C$38,0)),""),IF(IFERROR(INDEX(Scherpenzeel!$E$4:$E$103,MATCH($A10,Scherpenzeel!$C$4:$C$103,0)),"")&lt;&gt;"",IFERROR(INDEX(Scherpenzeel!$E$4:$E$103,MATCH($A10,Scherpenzeel!$C$4:$C$103,0)),""),IF(IFERROR(INDEX('4'!$E$4:$E$103,MATCH($A10,'4'!$C$4:$C$103,0)),"")&lt;&gt;"",IFERROR(INDEX('4'!$E$4:$E$103,MATCH($A10,'4'!$C$4:$C$103,0)),""),IFERROR(INDEX('5'!$E$4:$E$103,MATCH($A10,'5'!$C$4:$C$103,0)),""))))))</f>
        <v>Junior (U19)</v>
      </c>
      <c r="D10" s="24">
        <f>IF($A10="","",IFERROR(INDEX(Barneveld!$A$4:$A$36,MATCH($A10,Barneveld!$C$4:$C$36,0)),""))</f>
        <v>15</v>
      </c>
      <c r="E10" s="15">
        <f>IF($A10="",0,IFERROR(INDEX(Barneveld!$H$4:$H$36,MATCH($A10,Barneveld!$C$4:$C$36,0)),0))</f>
        <v>38</v>
      </c>
      <c r="F10" s="24">
        <f>IF($A10="","",IFERROR(INDEX(Baarn!$A$4:$A$38,MATCH($A10,Baarn!$C$4:$C$38,0)),""))</f>
        <v>22</v>
      </c>
      <c r="G10" s="15">
        <f>IF($A10="",0,IFERROR(INDEX(Baarn!$I$4:$I$38,MATCH($A10,Baarn!$C$4:$C$38,0)),0))</f>
        <v>20</v>
      </c>
      <c r="H10" s="24" t="str">
        <f>IF($A10="","",IFERROR(INDEX(Scherpenzeel!$A$4:$A$103,MATCH($A10,Scherpenzeel!$C$4:$C$103,0)),""))</f>
        <v/>
      </c>
      <c r="I10" s="15">
        <f>IF($A10="",0,IFERROR(INDEX(Scherpenzeel!$I$4:$I$103,MATCH($A10,Scherpenzeel!$C$4:$C$103,0)),0))</f>
        <v>0</v>
      </c>
      <c r="J10" s="24" t="str">
        <f>IF($A10="","",IFERROR(INDEX('4'!$A$4:$A$103,MATCH($A10,'4'!$C$4:$C$103,0)),""))</f>
        <v/>
      </c>
      <c r="K10" s="15">
        <f>IF($A10="",0,IFERROR(INDEX('4'!$I$4:$I$103,MATCH($A10,'4'!$C$4:$C$103,0)),0))</f>
        <v>0</v>
      </c>
      <c r="L10" s="24" t="str">
        <f>IF($A10="","",IFERROR(INDEX('5'!$A$4:$A$103,MATCH($A10,'5'!$C$4:$C$103,0)),""))</f>
        <v/>
      </c>
      <c r="M10" s="15">
        <f>IF($A10="",0,IFERROR(INDEX('5'!$I$4:$I$103,MATCH($A10,'5'!$C$4:$C$103,0)),0))</f>
        <v>0</v>
      </c>
      <c r="N10" s="25">
        <f t="shared" si="0"/>
        <v>58</v>
      </c>
      <c r="O10" s="26">
        <f t="shared" si="1"/>
        <v>7</v>
      </c>
      <c r="AA10" t="str">
        <f>IF(ISNUMBER(SEARCH("Junior",Barneveld!D13)),Barneveld!C13,"")</f>
        <v/>
      </c>
      <c r="AB10">
        <f>IF(AA10="",0,IF(COUNTIF($AA$1:AA10,AA10)=1,1,0))</f>
        <v>0</v>
      </c>
      <c r="AC10" t="str">
        <f>IF(AB10=1,COUNTIF($AB$1:AB10,1),"")</f>
        <v/>
      </c>
    </row>
    <row r="11" spans="1:29" x14ac:dyDescent="0.25">
      <c r="A11" s="13" t="str">
        <f>IFERROR(INDEX($AA$1:$AA$368,MATCH(8,$AC$1:$AC$368,0)),"")</f>
        <v>Nick Broos</v>
      </c>
      <c r="B11" s="13" t="str">
        <f>IF($A11="","",IF(IFERROR(INDEX(Barneveld!$E$4:$E$36,MATCH($A11,Barneveld!$C$4:$C$36,0)),"")&lt;&gt;"",IFERROR(INDEX(Barneveld!$E$4:$E$36,MATCH($A11,Barneveld!$C$4:$C$36,0)),""),IF(IFERROR(INDEX(Baarn!$F$4:$F$38,MATCH($A11,Baarn!$C$4:$C$38,0)),"")&lt;&gt;"",IFERROR(INDEX(Baarn!$F$4:$F$38,MATCH($A11,Baarn!$C$4:$C$38,0)),""),IF(IFERROR(INDEX(Scherpenzeel!$F$4:$F$103,MATCH($A11,Scherpenzeel!$C$4:$C$103,0)),"")&lt;&gt;"",IFERROR(INDEX(Scherpenzeel!$F$4:$F$103,MATCH($A11,Scherpenzeel!$C$4:$C$103,0)),""),IF(IFERROR(INDEX('4'!$F$4:$F$103,MATCH($A11,'4'!$C$4:$C$103,0)),"")&lt;&gt;"",IFERROR(INDEX('4'!$F$4:$F$103,MATCH($A11,'4'!$C$4:$C$103,0)),""),IFERROR(INDEX('5'!$F$4:$F$103,MATCH($A11,'5'!$C$4:$C$103,0)),""))))))</f>
        <v>FAVO-Kevenaar Cycling Team</v>
      </c>
      <c r="C11" s="13" t="str">
        <f>IF($A11="","",IF(IFERROR(INDEX(Barneveld!$D$4:$D$36,MATCH($A11,Barneveld!$C$4:$C$36,0)),"")&lt;&gt;"",IFERROR(INDEX(Barneveld!$D$4:$D$36,MATCH($A11,Barneveld!$C$4:$C$36,0)),""),IF(IFERROR(INDEX(Baarn!$E$4:$E$38,MATCH($A11,Baarn!$C$4:$C$38,0)),"")&lt;&gt;"",IFERROR(INDEX(Baarn!$E$4:$E$38,MATCH($A11,Baarn!$C$4:$C$38,0)),""),IF(IFERROR(INDEX(Scherpenzeel!$E$4:$E$103,MATCH($A11,Scherpenzeel!$C$4:$C$103,0)),"")&lt;&gt;"",IFERROR(INDEX(Scherpenzeel!$E$4:$E$103,MATCH($A11,Scherpenzeel!$C$4:$C$103,0)),""),IF(IFERROR(INDEX('4'!$E$4:$E$103,MATCH($A11,'4'!$C$4:$C$103,0)),"")&lt;&gt;"",IFERROR(INDEX('4'!$E$4:$E$103,MATCH($A11,'4'!$C$4:$C$103,0)),""),IFERROR(INDEX('5'!$E$4:$E$103,MATCH($A11,'5'!$C$4:$C$103,0)),""))))))</f>
        <v>Junior (U19)</v>
      </c>
      <c r="D11" s="24" t="str">
        <f>IF($A11="","",IFERROR(INDEX(Barneveld!$A$4:$A$36,MATCH($A11,Barneveld!$C$4:$C$36,0)),""))</f>
        <v/>
      </c>
      <c r="E11" s="15">
        <f>IF($A11="",0,IFERROR(INDEX(Barneveld!$H$4:$H$36,MATCH($A11,Barneveld!$C$4:$C$36,0)),0))</f>
        <v>0</v>
      </c>
      <c r="F11" s="24">
        <f>IF($A11="","",IFERROR(INDEX(Baarn!$A$4:$A$38,MATCH($A11,Baarn!$C$4:$C$38,0)),""))</f>
        <v>10</v>
      </c>
      <c r="G11" s="15">
        <f>IF($A11="",0,IFERROR(INDEX(Baarn!$I$4:$I$38,MATCH($A11,Baarn!$C$4:$C$38,0)),0))</f>
        <v>54</v>
      </c>
      <c r="H11" s="24" t="str">
        <f>IF($A11="","",IFERROR(INDEX(Scherpenzeel!$A$4:$A$103,MATCH($A11,Scherpenzeel!$C$4:$C$103,0)),""))</f>
        <v/>
      </c>
      <c r="I11" s="15">
        <f>IF($A11="",0,IFERROR(INDEX(Scherpenzeel!$I$4:$I$103,MATCH($A11,Scherpenzeel!$C$4:$C$103,0)),0))</f>
        <v>0</v>
      </c>
      <c r="J11" s="24" t="str">
        <f>IF($A11="","",IFERROR(INDEX('4'!$A$4:$A$103,MATCH($A11,'4'!$C$4:$C$103,0)),""))</f>
        <v/>
      </c>
      <c r="K11" s="15">
        <f>IF($A11="",0,IFERROR(INDEX('4'!$I$4:$I$103,MATCH($A11,'4'!$C$4:$C$103,0)),0))</f>
        <v>0</v>
      </c>
      <c r="L11" s="24" t="str">
        <f>IF($A11="","",IFERROR(INDEX('5'!$A$4:$A$103,MATCH($A11,'5'!$C$4:$C$103,0)),""))</f>
        <v/>
      </c>
      <c r="M11" s="15">
        <f>IF($A11="",0,IFERROR(INDEX('5'!$I$4:$I$103,MATCH($A11,'5'!$C$4:$C$103,0)),0))</f>
        <v>0</v>
      </c>
      <c r="N11" s="25">
        <f t="shared" si="0"/>
        <v>54</v>
      </c>
      <c r="O11" s="26">
        <f t="shared" si="1"/>
        <v>8</v>
      </c>
      <c r="AA11" t="str">
        <f>IF(ISNUMBER(SEARCH("Junior",Barneveld!D14)),Barneveld!C14,"")</f>
        <v/>
      </c>
      <c r="AB11">
        <f>IF(AA11="",0,IF(COUNTIF($AA$1:AA11,AA11)=1,1,0))</f>
        <v>0</v>
      </c>
      <c r="AC11" t="str">
        <f>IF(AB11=1,COUNTIF($AB$1:AB11,1),"")</f>
        <v/>
      </c>
    </row>
    <row r="12" spans="1:29" x14ac:dyDescent="0.25">
      <c r="A12" s="13" t="str">
        <f>IFERROR(INDEX($AA$1:$AA$368,MATCH(15,$AC$1:$AC$368,0)),"")</f>
        <v>Laurens Dijkstra</v>
      </c>
      <c r="B12" s="13" t="str">
        <f>IF($A12="","",IF(IFERROR(INDEX(Barneveld!$E$4:$E$36,MATCH($A12,Barneveld!$C$4:$C$36,0)),"")&lt;&gt;"",IFERROR(INDEX(Barneveld!$E$4:$E$36,MATCH($A12,Barneveld!$C$4:$C$36,0)),""),IF(IFERROR(INDEX(Baarn!$F$4:$F$38,MATCH($A12,Baarn!$C$4:$C$38,0)),"")&lt;&gt;"",IFERROR(INDEX(Baarn!$F$4:$F$38,MATCH($A12,Baarn!$C$4:$C$38,0)),""),IF(IFERROR(INDEX(Scherpenzeel!$F$4:$F$103,MATCH($A12,Scherpenzeel!$C$4:$C$103,0)),"")&lt;&gt;"",IFERROR(INDEX(Scherpenzeel!$F$4:$F$103,MATCH($A12,Scherpenzeel!$C$4:$C$103,0)),""),IF(IFERROR(INDEX('4'!$F$4:$F$103,MATCH($A12,'4'!$C$4:$C$103,0)),"")&lt;&gt;"",IFERROR(INDEX('4'!$F$4:$F$103,MATCH($A12,'4'!$C$4:$C$103,0)),""),IFERROR(INDEX('5'!$F$4:$F$103,MATCH($A12,'5'!$C$4:$C$103,0)),""))))))</f>
        <v>WV de Amstel</v>
      </c>
      <c r="C12" s="13" t="str">
        <f>IF($A12="","",IF(IFERROR(INDEX(Barneveld!$D$4:$D$36,MATCH($A12,Barneveld!$C$4:$C$36,0)),"")&lt;&gt;"",IFERROR(INDEX(Barneveld!$D$4:$D$36,MATCH($A12,Barneveld!$C$4:$C$36,0)),""),IF(IFERROR(INDEX(Baarn!$E$4:$E$38,MATCH($A12,Baarn!$C$4:$C$38,0)),"")&lt;&gt;"",IFERROR(INDEX(Baarn!$E$4:$E$38,MATCH($A12,Baarn!$C$4:$C$38,0)),""),IF(IFERROR(INDEX(Scherpenzeel!$E$4:$E$103,MATCH($A12,Scherpenzeel!$C$4:$C$103,0)),"")&lt;&gt;"",IFERROR(INDEX(Scherpenzeel!$E$4:$E$103,MATCH($A12,Scherpenzeel!$C$4:$C$103,0)),""),IF(IFERROR(INDEX('4'!$E$4:$E$103,MATCH($A12,'4'!$C$4:$C$103,0)),"")&lt;&gt;"",IFERROR(INDEX('4'!$E$4:$E$103,MATCH($A12,'4'!$C$4:$C$103,0)),""),IFERROR(INDEX('5'!$E$4:$E$103,MATCH($A12,'5'!$C$4:$C$103,0)),""))))))</f>
        <v>Junior (U19)</v>
      </c>
      <c r="D12" s="24" t="str">
        <f>IF($A12="","",IFERROR(INDEX(Barneveld!$A$4:$A$36,MATCH($A12,Barneveld!$C$4:$C$36,0)),""))</f>
        <v/>
      </c>
      <c r="E12" s="15">
        <f>IF($A12="",0,IFERROR(INDEX(Barneveld!$H$4:$H$36,MATCH($A12,Barneveld!$C$4:$C$36,0)),0))</f>
        <v>0</v>
      </c>
      <c r="F12" s="24" t="str">
        <f>IF($A12="","",IFERROR(INDEX(Baarn!$A$4:$A$38,MATCH($A12,Baarn!$C$4:$C$38,0)),""))</f>
        <v/>
      </c>
      <c r="G12" s="15">
        <f>IF($A12="",0,IFERROR(INDEX(Baarn!$I$4:$I$38,MATCH($A12,Baarn!$C$4:$C$38,0)),0))</f>
        <v>0</v>
      </c>
      <c r="H12" s="24" t="str">
        <f>IF($A12="","",IFERROR(INDEX(Scherpenzeel!$A$4:$A$103,MATCH($A12,Scherpenzeel!$C$4:$C$103,0)),""))</f>
        <v>12</v>
      </c>
      <c r="I12" s="15">
        <v>47</v>
      </c>
      <c r="J12" s="24" t="str">
        <f>IF($A12="","",IFERROR(INDEX('4'!$A$4:$A$103,MATCH($A12,'4'!$C$4:$C$103,0)),""))</f>
        <v/>
      </c>
      <c r="K12" s="15">
        <f>IF($A12="",0,IFERROR(INDEX('4'!$I$4:$I$103,MATCH($A12,'4'!$C$4:$C$103,0)),0))</f>
        <v>0</v>
      </c>
      <c r="L12" s="24" t="str">
        <f>IF($A12="","",IFERROR(INDEX('5'!$A$4:$A$103,MATCH($A12,'5'!$C$4:$C$103,0)),""))</f>
        <v/>
      </c>
      <c r="M12" s="15">
        <f>IF($A12="",0,IFERROR(INDEX('5'!$I$4:$I$103,MATCH($A12,'5'!$C$4:$C$103,0)),0))</f>
        <v>0</v>
      </c>
      <c r="N12" s="25">
        <f t="shared" si="0"/>
        <v>47</v>
      </c>
      <c r="O12" s="26">
        <f t="shared" si="1"/>
        <v>9</v>
      </c>
      <c r="AA12" t="str">
        <f>IF(ISNUMBER(SEARCH("Junior",Barneveld!D15)),Barneveld!C15,"")</f>
        <v/>
      </c>
      <c r="AB12">
        <f>IF(AA12="",0,IF(COUNTIF($AA$1:AA12,AA12)=1,1,0))</f>
        <v>0</v>
      </c>
      <c r="AC12" t="str">
        <f>IF(AB12=1,COUNTIF($AB$1:AB12,1),"")</f>
        <v/>
      </c>
    </row>
    <row r="13" spans="1:29" x14ac:dyDescent="0.25">
      <c r="A13" s="13" t="str">
        <f>IFERROR(INDEX($AA$1:$AA$368,MATCH(9,$AC$1:$AC$368,0)),"")</f>
        <v>Ole Niesing</v>
      </c>
      <c r="B13" s="13" t="str">
        <f>IF($A13="","",IF(IFERROR(INDEX(Barneveld!$E$4:$E$36,MATCH($A13,Barneveld!$C$4:$C$36,0)),"")&lt;&gt;"",IFERROR(INDEX(Barneveld!$E$4:$E$36,MATCH($A13,Barneveld!$C$4:$C$36,0)),""),IF(IFERROR(INDEX(Baarn!$F$4:$F$38,MATCH($A13,Baarn!$C$4:$C$38,0)),"")&lt;&gt;"",IFERROR(INDEX(Baarn!$F$4:$F$38,MATCH($A13,Baarn!$C$4:$C$38,0)),""),IF(IFERROR(INDEX(Scherpenzeel!$F$4:$F$103,MATCH($A13,Scherpenzeel!$C$4:$C$103,0)),"")&lt;&gt;"",IFERROR(INDEX(Scherpenzeel!$F$4:$F$103,MATCH($A13,Scherpenzeel!$C$4:$C$103,0)),""),IF(IFERROR(INDEX('4'!$F$4:$F$103,MATCH($A13,'4'!$C$4:$C$103,0)),"")&lt;&gt;"",IFERROR(INDEX('4'!$F$4:$F$103,MATCH($A13,'4'!$C$4:$C$103,0)),""),IFERROR(INDEX('5'!$F$4:$F$103,MATCH($A13,'5'!$C$4:$C$103,0)),""))))))</f>
        <v>GWC de Adelaar</v>
      </c>
      <c r="C13" s="13" t="str">
        <f>IF($A13="","",IF(IFERROR(INDEX(Barneveld!$D$4:$D$36,MATCH($A13,Barneveld!$C$4:$C$36,0)),"")&lt;&gt;"",IFERROR(INDEX(Barneveld!$D$4:$D$36,MATCH($A13,Barneveld!$C$4:$C$36,0)),""),IF(IFERROR(INDEX(Baarn!$E$4:$E$38,MATCH($A13,Baarn!$C$4:$C$38,0)),"")&lt;&gt;"",IFERROR(INDEX(Baarn!$E$4:$E$38,MATCH($A13,Baarn!$C$4:$C$38,0)),""),IF(IFERROR(INDEX(Scherpenzeel!$E$4:$E$103,MATCH($A13,Scherpenzeel!$C$4:$C$103,0)),"")&lt;&gt;"",IFERROR(INDEX(Scherpenzeel!$E$4:$E$103,MATCH($A13,Scherpenzeel!$C$4:$C$103,0)),""),IF(IFERROR(INDEX('4'!$E$4:$E$103,MATCH($A13,'4'!$C$4:$C$103,0)),"")&lt;&gt;"",IFERROR(INDEX('4'!$E$4:$E$103,MATCH($A13,'4'!$C$4:$C$103,0)),""),IFERROR(INDEX('5'!$E$4:$E$103,MATCH($A13,'5'!$C$4:$C$103,0)),""))))))</f>
        <v>Junior (U19)</v>
      </c>
      <c r="D13" s="24" t="str">
        <f>IF($A13="","",IFERROR(INDEX(Barneveld!$A$4:$A$36,MATCH($A13,Barneveld!$C$4:$C$36,0)),""))</f>
        <v/>
      </c>
      <c r="E13" s="15">
        <f>IF($A13="",0,IFERROR(INDEX(Barneveld!$H$4:$H$36,MATCH($A13,Barneveld!$C$4:$C$36,0)),0))</f>
        <v>0</v>
      </c>
      <c r="F13" s="24">
        <f>IF($A13="","",IFERROR(INDEX(Baarn!$A$4:$A$38,MATCH($A13,Baarn!$C$4:$C$38,0)),""))</f>
        <v>14</v>
      </c>
      <c r="G13" s="15">
        <f>IF($A13="",0,IFERROR(INDEX(Baarn!$I$4:$I$38,MATCH($A13,Baarn!$C$4:$C$38,0)),0))</f>
        <v>41</v>
      </c>
      <c r="H13" s="24" t="str">
        <f>IF($A13="","",IFERROR(INDEX(Scherpenzeel!$A$4:$A$103,MATCH($A13,Scherpenzeel!$C$4:$C$103,0)),""))</f>
        <v/>
      </c>
      <c r="I13" s="15">
        <f>IF($A13="",0,IFERROR(INDEX(Scherpenzeel!$I$4:$I$103,MATCH($A13,Scherpenzeel!$C$4:$C$103,0)),0))</f>
        <v>0</v>
      </c>
      <c r="J13" s="24" t="str">
        <f>IF($A13="","",IFERROR(INDEX('4'!$A$4:$A$103,MATCH($A13,'4'!$C$4:$C$103,0)),""))</f>
        <v/>
      </c>
      <c r="K13" s="15">
        <f>IF($A13="",0,IFERROR(INDEX('4'!$I$4:$I$103,MATCH($A13,'4'!$C$4:$C$103,0)),0))</f>
        <v>0</v>
      </c>
      <c r="L13" s="24" t="str">
        <f>IF($A13="","",IFERROR(INDEX('5'!$A$4:$A$103,MATCH($A13,'5'!$C$4:$C$103,0)),""))</f>
        <v/>
      </c>
      <c r="M13" s="15">
        <f>IF($A13="",0,IFERROR(INDEX('5'!$I$4:$I$103,MATCH($A13,'5'!$C$4:$C$103,0)),0))</f>
        <v>0</v>
      </c>
      <c r="N13" s="25">
        <f t="shared" si="0"/>
        <v>41</v>
      </c>
      <c r="O13" s="26">
        <f t="shared" si="1"/>
        <v>10</v>
      </c>
      <c r="AA13" t="str">
        <f>IF(ISNUMBER(SEARCH("Junior",Barneveld!D16)),Barneveld!C16,"")</f>
        <v/>
      </c>
      <c r="AB13">
        <f>IF(AA13="",0,IF(COUNTIF($AA$1:AA13,AA13)=1,1,0))</f>
        <v>0</v>
      </c>
      <c r="AC13" t="str">
        <f>IF(AB13=1,COUNTIF($AB$1:AB13,1),"")</f>
        <v/>
      </c>
    </row>
    <row r="14" spans="1:29" x14ac:dyDescent="0.25">
      <c r="A14" s="13" t="str">
        <f>IFERROR(INDEX($AA$1:$AA$368,MATCH(10,$AC$1:$AC$368,0)),"")</f>
        <v>Freek Valkonet</v>
      </c>
      <c r="B14" s="13" t="str">
        <f>IF($A14="","",IF(IFERROR(INDEX(Barneveld!$E$4:$E$36,MATCH($A14,Barneveld!$C$4:$C$36,0)),"")&lt;&gt;"",IFERROR(INDEX(Barneveld!$E$4:$E$36,MATCH($A14,Barneveld!$C$4:$C$36,0)),""),IF(IFERROR(INDEX(Baarn!$F$4:$F$38,MATCH($A14,Baarn!$C$4:$C$38,0)),"")&lt;&gt;"",IFERROR(INDEX(Baarn!$F$4:$F$38,MATCH($A14,Baarn!$C$4:$C$38,0)),""),IF(IFERROR(INDEX(Scherpenzeel!$F$4:$F$103,MATCH($A14,Scherpenzeel!$C$4:$C$103,0)),"")&lt;&gt;"",IFERROR(INDEX(Scherpenzeel!$F$4:$F$103,MATCH($A14,Scherpenzeel!$C$4:$C$103,0)),""),IF(IFERROR(INDEX('4'!$F$4:$F$103,MATCH($A14,'4'!$C$4:$C$103,0)),"")&lt;&gt;"",IFERROR(INDEX('4'!$F$4:$F$103,MATCH($A14,'4'!$C$4:$C$103,0)),""),IFERROR(INDEX('5'!$F$4:$F$103,MATCH($A14,'5'!$C$4:$C$103,0)),""))))))</f>
        <v>GWC de Adelaar</v>
      </c>
      <c r="C14" s="13" t="str">
        <f>IF($A14="","",IF(IFERROR(INDEX(Barneveld!$D$4:$D$36,MATCH($A14,Barneveld!$C$4:$C$36,0)),"")&lt;&gt;"",IFERROR(INDEX(Barneveld!$D$4:$D$36,MATCH($A14,Barneveld!$C$4:$C$36,0)),""),IF(IFERROR(INDEX(Baarn!$E$4:$E$38,MATCH($A14,Baarn!$C$4:$C$38,0)),"")&lt;&gt;"",IFERROR(INDEX(Baarn!$E$4:$E$38,MATCH($A14,Baarn!$C$4:$C$38,0)),""),IF(IFERROR(INDEX(Scherpenzeel!$E$4:$E$103,MATCH($A14,Scherpenzeel!$C$4:$C$103,0)),"")&lt;&gt;"",IFERROR(INDEX(Scherpenzeel!$E$4:$E$103,MATCH($A14,Scherpenzeel!$C$4:$C$103,0)),""),IF(IFERROR(INDEX('4'!$E$4:$E$103,MATCH($A14,'4'!$C$4:$C$103,0)),"")&lt;&gt;"",IFERROR(INDEX('4'!$E$4:$E$103,MATCH($A14,'4'!$C$4:$C$103,0)),""),IFERROR(INDEX('5'!$E$4:$E$103,MATCH($A14,'5'!$C$4:$C$103,0)),""))))))</f>
        <v>Junior (U19)</v>
      </c>
      <c r="D14" s="24" t="str">
        <f>IF($A14="","",IFERROR(INDEX(Barneveld!$A$4:$A$36,MATCH($A14,Barneveld!$C$4:$C$36,0)),""))</f>
        <v/>
      </c>
      <c r="E14" s="15">
        <f>IF($A14="",0,IFERROR(INDEX(Barneveld!$H$4:$H$36,MATCH($A14,Barneveld!$C$4:$C$36,0)),0))</f>
        <v>0</v>
      </c>
      <c r="F14" s="24">
        <f>IF($A14="","",IFERROR(INDEX(Baarn!$A$4:$A$38,MATCH($A14,Baarn!$C$4:$C$38,0)),""))</f>
        <v>16</v>
      </c>
      <c r="G14" s="15">
        <f>IF($A14="",0,IFERROR(INDEX(Baarn!$I$4:$I$38,MATCH($A14,Baarn!$C$4:$C$38,0)),0))</f>
        <v>35</v>
      </c>
      <c r="H14" s="24" t="str">
        <f>IF($A14="","",IFERROR(INDEX(Scherpenzeel!$A$4:$A$103,MATCH($A14,Scherpenzeel!$C$4:$C$103,0)),""))</f>
        <v>DNF</v>
      </c>
      <c r="I14" s="15">
        <f>IF($A14="",0,IFERROR(INDEX(Scherpenzeel!$I$4:$I$103,MATCH($A14,Scherpenzeel!$C$4:$C$103,0)),0))</f>
        <v>1</v>
      </c>
      <c r="J14" s="24" t="str">
        <f>IF($A14="","",IFERROR(INDEX('4'!$A$4:$A$103,MATCH($A14,'4'!$C$4:$C$103,0)),""))</f>
        <v/>
      </c>
      <c r="K14" s="15">
        <f>IF($A14="",0,IFERROR(INDEX('4'!$I$4:$I$103,MATCH($A14,'4'!$C$4:$C$103,0)),0))</f>
        <v>0</v>
      </c>
      <c r="L14" s="24" t="str">
        <f>IF($A14="","",IFERROR(INDEX('5'!$A$4:$A$103,MATCH($A14,'5'!$C$4:$C$103,0)),""))</f>
        <v/>
      </c>
      <c r="M14" s="15">
        <f>IF($A14="",0,IFERROR(INDEX('5'!$I$4:$I$103,MATCH($A14,'5'!$C$4:$C$103,0)),0))</f>
        <v>0</v>
      </c>
      <c r="N14" s="25">
        <f t="shared" si="0"/>
        <v>36</v>
      </c>
      <c r="O14" s="26">
        <f t="shared" si="1"/>
        <v>11</v>
      </c>
      <c r="AA14" t="str">
        <f>IF(ISNUMBER(SEARCH("Junior",Barneveld!D17)),Barneveld!C17,"")</f>
        <v/>
      </c>
      <c r="AB14">
        <f>IF(AA14="",0,IF(COUNTIF($AA$1:AA14,AA14)=1,1,0))</f>
        <v>0</v>
      </c>
      <c r="AC14" t="str">
        <f>IF(AB14=1,COUNTIF($AB$1:AB14,1),"")</f>
        <v/>
      </c>
    </row>
    <row r="15" spans="1:29" x14ac:dyDescent="0.25">
      <c r="A15" s="13" t="str">
        <f>IFERROR(INDEX($AA$1:$AA$368,MATCH(11,$AC$1:$AC$368,0)),"")</f>
        <v>Mick de Rooij</v>
      </c>
      <c r="B15" s="13" t="str">
        <f>IF($A15="","",IF(IFERROR(INDEX(Barneveld!$E$4:$E$36,MATCH($A15,Barneveld!$C$4:$C$36,0)),"")&lt;&gt;"",IFERROR(INDEX(Barneveld!$E$4:$E$36,MATCH($A15,Barneveld!$C$4:$C$36,0)),""),IF(IFERROR(INDEX(Baarn!$F$4:$F$38,MATCH($A15,Baarn!$C$4:$C$38,0)),"")&lt;&gt;"",IFERROR(INDEX(Baarn!$F$4:$F$38,MATCH($A15,Baarn!$C$4:$C$38,0)),""),IF(IFERROR(INDEX(Scherpenzeel!$F$4:$F$103,MATCH($A15,Scherpenzeel!$C$4:$C$103,0)),"")&lt;&gt;"",IFERROR(INDEX(Scherpenzeel!$F$4:$F$103,MATCH($A15,Scherpenzeel!$C$4:$C$103,0)),""),IF(IFERROR(INDEX('4'!$F$4:$F$103,MATCH($A15,'4'!$C$4:$C$103,0)),"")&lt;&gt;"",IFERROR(INDEX('4'!$F$4:$F$103,MATCH($A15,'4'!$C$4:$C$103,0)),""),IFERROR(INDEX('5'!$F$4:$F$103,MATCH($A15,'5'!$C$4:$C$103,0)),""))))))</f>
        <v>W.V. Eemland</v>
      </c>
      <c r="C15" s="13" t="str">
        <f>IF($A15="","",IF(IFERROR(INDEX(Barneveld!$D$4:$D$36,MATCH($A15,Barneveld!$C$4:$C$36,0)),"")&lt;&gt;"",IFERROR(INDEX(Barneveld!$D$4:$D$36,MATCH($A15,Barneveld!$C$4:$C$36,0)),""),IF(IFERROR(INDEX(Baarn!$E$4:$E$38,MATCH($A15,Baarn!$C$4:$C$38,0)),"")&lt;&gt;"",IFERROR(INDEX(Baarn!$E$4:$E$38,MATCH($A15,Baarn!$C$4:$C$38,0)),""),IF(IFERROR(INDEX(Scherpenzeel!$E$4:$E$103,MATCH($A15,Scherpenzeel!$C$4:$C$103,0)),"")&lt;&gt;"",IFERROR(INDEX(Scherpenzeel!$E$4:$E$103,MATCH($A15,Scherpenzeel!$C$4:$C$103,0)),""),IF(IFERROR(INDEX('4'!$E$4:$E$103,MATCH($A15,'4'!$C$4:$C$103,0)),"")&lt;&gt;"",IFERROR(INDEX('4'!$E$4:$E$103,MATCH($A15,'4'!$C$4:$C$103,0)),""),IFERROR(INDEX('5'!$E$4:$E$103,MATCH($A15,'5'!$C$4:$C$103,0)),""))))))</f>
        <v>Junior (U19)</v>
      </c>
      <c r="D15" s="24" t="str">
        <f>IF($A15="","",IFERROR(INDEX(Barneveld!$A$4:$A$36,MATCH($A15,Barneveld!$C$4:$C$36,0)),""))</f>
        <v/>
      </c>
      <c r="E15" s="15">
        <f>IF($A15="",0,IFERROR(INDEX(Barneveld!$H$4:$H$36,MATCH($A15,Barneveld!$C$4:$C$36,0)),0))</f>
        <v>0</v>
      </c>
      <c r="F15" s="24">
        <f>IF($A15="","",IFERROR(INDEX(Baarn!$A$4:$A$38,MATCH($A15,Baarn!$C$4:$C$38,0)),""))</f>
        <v>19</v>
      </c>
      <c r="G15" s="15">
        <f>IF($A15="",0,IFERROR(INDEX(Baarn!$I$4:$I$38,MATCH($A15,Baarn!$C$4:$C$38,0)),0))</f>
        <v>26</v>
      </c>
      <c r="H15" s="24" t="str">
        <f>IF($A15="","",IFERROR(INDEX(Scherpenzeel!$A$4:$A$103,MATCH($A15,Scherpenzeel!$C$4:$C$103,0)),""))</f>
        <v/>
      </c>
      <c r="I15" s="15">
        <f>IF($A15="",0,IFERROR(INDEX(Scherpenzeel!$I$4:$I$103,MATCH($A15,Scherpenzeel!$C$4:$C$103,0)),0))</f>
        <v>0</v>
      </c>
      <c r="J15" s="24" t="str">
        <f>IF($A15="","",IFERROR(INDEX('4'!$A$4:$A$103,MATCH($A15,'4'!$C$4:$C$103,0)),""))</f>
        <v/>
      </c>
      <c r="K15" s="15">
        <f>IF($A15="",0,IFERROR(INDEX('4'!$I$4:$I$103,MATCH($A15,'4'!$C$4:$C$103,0)),0))</f>
        <v>0</v>
      </c>
      <c r="L15" s="24" t="str">
        <f>IF($A15="","",IFERROR(INDEX('5'!$A$4:$A$103,MATCH($A15,'5'!$C$4:$C$103,0)),""))</f>
        <v/>
      </c>
      <c r="M15" s="15">
        <f>IF($A15="",0,IFERROR(INDEX('5'!$I$4:$I$103,MATCH($A15,'5'!$C$4:$C$103,0)),0))</f>
        <v>0</v>
      </c>
      <c r="N15" s="25">
        <f t="shared" si="0"/>
        <v>26</v>
      </c>
      <c r="O15" s="26">
        <f t="shared" si="1"/>
        <v>12</v>
      </c>
      <c r="AA15" t="str">
        <f>IF(ISNUMBER(SEARCH("Junior",Barneveld!D18)),Barneveld!C18,"")</f>
        <v>Julian Dingemans</v>
      </c>
      <c r="AB15">
        <f>IF(AA15="",0,IF(COUNTIF($AA$1:AA15,AA15)=1,1,0))</f>
        <v>1</v>
      </c>
      <c r="AC15">
        <f>IF(AB15=1,COUNTIF($AB$1:AB15,1),"")</f>
        <v>1</v>
      </c>
    </row>
    <row r="16" spans="1:29" x14ac:dyDescent="0.25">
      <c r="A16" s="13" t="str">
        <f>IFERROR(INDEX($AA$1:$AA$368,MATCH(16,$AC$1:$AC$368,0)),"")</f>
        <v>Lieuwe van der Meulen</v>
      </c>
      <c r="B16" s="13" t="str">
        <f>IF($A16="","",IF(IFERROR(INDEX(Barneveld!$E$4:$E$36,MATCH($A16,Barneveld!$C$4:$C$36,0)),"")&lt;&gt;"",IFERROR(INDEX(Barneveld!$E$4:$E$36,MATCH($A16,Barneveld!$C$4:$C$36,0)),""),IF(IFERROR(INDEX(Baarn!$F$4:$F$38,MATCH($A16,Baarn!$C$4:$C$38,0)),"")&lt;&gt;"",IFERROR(INDEX(Baarn!$F$4:$F$38,MATCH($A16,Baarn!$C$4:$C$38,0)),""),IF(IFERROR(INDEX(Scherpenzeel!$F$4:$F$103,MATCH($A16,Scherpenzeel!$C$4:$C$103,0)),"")&lt;&gt;"",IFERROR(INDEX(Scherpenzeel!$F$4:$F$103,MATCH($A16,Scherpenzeel!$C$4:$C$103,0)),""),IF(IFERROR(INDEX('4'!$F$4:$F$103,MATCH($A16,'4'!$C$4:$C$103,0)),"")&lt;&gt;"",IFERROR(INDEX('4'!$F$4:$F$103,MATCH($A16,'4'!$C$4:$C$103,0)),""),IFERROR(INDEX('5'!$F$4:$F$103,MATCH($A16,'5'!$C$4:$C$103,0)),""))))))</f>
        <v>WV de Amstel</v>
      </c>
      <c r="C16" s="13" t="str">
        <f>IF($A16="","",IF(IFERROR(INDEX(Barneveld!$D$4:$D$36,MATCH($A16,Barneveld!$C$4:$C$36,0)),"")&lt;&gt;"",IFERROR(INDEX(Barneveld!$D$4:$D$36,MATCH($A16,Barneveld!$C$4:$C$36,0)),""),IF(IFERROR(INDEX(Baarn!$E$4:$E$38,MATCH($A16,Baarn!$C$4:$C$38,0)),"")&lt;&gt;"",IFERROR(INDEX(Baarn!$E$4:$E$38,MATCH($A16,Baarn!$C$4:$C$38,0)),""),IF(IFERROR(INDEX(Scherpenzeel!$E$4:$E$103,MATCH($A16,Scherpenzeel!$C$4:$C$103,0)),"")&lt;&gt;"",IFERROR(INDEX(Scherpenzeel!$E$4:$E$103,MATCH($A16,Scherpenzeel!$C$4:$C$103,0)),""),IF(IFERROR(INDEX('4'!$E$4:$E$103,MATCH($A16,'4'!$C$4:$C$103,0)),"")&lt;&gt;"",IFERROR(INDEX('4'!$E$4:$E$103,MATCH($A16,'4'!$C$4:$C$103,0)),""),IFERROR(INDEX('5'!$E$4:$E$103,MATCH($A16,'5'!$C$4:$C$103,0)),""))))))</f>
        <v>Junior (U19)</v>
      </c>
      <c r="D16" s="24" t="str">
        <f>IF($A16="","",IFERROR(INDEX(Barneveld!$A$4:$A$36,MATCH($A16,Barneveld!$C$4:$C$36,0)),""))</f>
        <v/>
      </c>
      <c r="E16" s="15">
        <f>IF($A16="",0,IFERROR(INDEX(Barneveld!$H$4:$H$36,MATCH($A16,Barneveld!$C$4:$C$36,0)),0))</f>
        <v>0</v>
      </c>
      <c r="F16" s="24" t="str">
        <f>IF($A16="","",IFERROR(INDEX(Baarn!$A$4:$A$38,MATCH($A16,Baarn!$C$4:$C$38,0)),""))</f>
        <v/>
      </c>
      <c r="G16" s="15">
        <f>IF($A16="",0,IFERROR(INDEX(Baarn!$I$4:$I$38,MATCH($A16,Baarn!$C$4:$C$38,0)),0))</f>
        <v>0</v>
      </c>
      <c r="H16" s="24" t="str">
        <f>IF($A16="","",IFERROR(INDEX(Scherpenzeel!$A$4:$A$103,MATCH($A16,Scherpenzeel!$C$4:$C$103,0)),""))</f>
        <v>20</v>
      </c>
      <c r="I16" s="15">
        <v>24</v>
      </c>
      <c r="J16" s="24" t="str">
        <f>IF($A16="","",IFERROR(INDEX('4'!$A$4:$A$103,MATCH($A16,'4'!$C$4:$C$103,0)),""))</f>
        <v/>
      </c>
      <c r="K16" s="15">
        <f>IF($A16="",0,IFERROR(INDEX('4'!$I$4:$I$103,MATCH($A16,'4'!$C$4:$C$103,0)),0))</f>
        <v>0</v>
      </c>
      <c r="L16" s="24" t="str">
        <f>IF($A16="","",IFERROR(INDEX('5'!$A$4:$A$103,MATCH($A16,'5'!$C$4:$C$103,0)),""))</f>
        <v/>
      </c>
      <c r="M16" s="15">
        <f>IF($A16="",0,IFERROR(INDEX('5'!$I$4:$I$103,MATCH($A16,'5'!$C$4:$C$103,0)),0))</f>
        <v>0</v>
      </c>
      <c r="N16" s="25">
        <f t="shared" si="0"/>
        <v>24</v>
      </c>
      <c r="O16" s="26">
        <f t="shared" si="1"/>
        <v>13</v>
      </c>
      <c r="AA16" t="str">
        <f>IF(ISNUMBER(SEARCH("Junior",Barneveld!D19)),Barneveld!C19,"")</f>
        <v>Nout Remeeus</v>
      </c>
      <c r="AB16">
        <f>IF(AA16="",0,IF(COUNTIF($AA$1:AA16,AA16)=1,1,0))</f>
        <v>1</v>
      </c>
      <c r="AC16">
        <f>IF(AB16=1,COUNTIF($AB$1:AB16,1),"")</f>
        <v>2</v>
      </c>
    </row>
    <row r="17" spans="1:29" x14ac:dyDescent="0.25">
      <c r="A17" s="13" t="str">
        <f>IFERROR(INDEX($AA$1:$AA$368,MATCH(12,$AC$1:$AC$368,0)),"")</f>
        <v>Rens Thomassen</v>
      </c>
      <c r="B17" s="13" t="str">
        <f>IF($A17="","",IF(IFERROR(INDEX(Barneveld!$E$4:$E$36,MATCH($A17,Barneveld!$C$4:$C$36,0)),"")&lt;&gt;"",IFERROR(INDEX(Barneveld!$E$4:$E$36,MATCH($A17,Barneveld!$C$4:$C$36,0)),""),IF(IFERROR(INDEX(Baarn!$F$4:$F$38,MATCH($A17,Baarn!$C$4:$C$38,0)),"")&lt;&gt;"",IFERROR(INDEX(Baarn!$F$4:$F$38,MATCH($A17,Baarn!$C$4:$C$38,0)),""),IF(IFERROR(INDEX(Scherpenzeel!$F$4:$F$103,MATCH($A17,Scherpenzeel!$C$4:$C$103,0)),"")&lt;&gt;"",IFERROR(INDEX(Scherpenzeel!$F$4:$F$103,MATCH($A17,Scherpenzeel!$C$4:$C$103,0)),""),IF(IFERROR(INDEX('4'!$F$4:$F$103,MATCH($A17,'4'!$C$4:$C$103,0)),"")&lt;&gt;"",IFERROR(INDEX('4'!$F$4:$F$103,MATCH($A17,'4'!$C$4:$C$103,0)),""),IFERROR(INDEX('5'!$F$4:$F$103,MATCH($A17,'5'!$C$4:$C$103,0)),""))))))</f>
        <v>TWC 't Verzetje</v>
      </c>
      <c r="C17" s="13" t="str">
        <f>IF($A17="","",IF(IFERROR(INDEX(Barneveld!$D$4:$D$36,MATCH($A17,Barneveld!$C$4:$C$36,0)),"")&lt;&gt;"",IFERROR(INDEX(Barneveld!$D$4:$D$36,MATCH($A17,Barneveld!$C$4:$C$36,0)),""),IF(IFERROR(INDEX(Baarn!$E$4:$E$38,MATCH($A17,Baarn!$C$4:$C$38,0)),"")&lt;&gt;"",IFERROR(INDEX(Baarn!$E$4:$E$38,MATCH($A17,Baarn!$C$4:$C$38,0)),""),IF(IFERROR(INDEX(Scherpenzeel!$E$4:$E$103,MATCH($A17,Scherpenzeel!$C$4:$C$103,0)),"")&lt;&gt;"",IFERROR(INDEX(Scherpenzeel!$E$4:$E$103,MATCH($A17,Scherpenzeel!$C$4:$C$103,0)),""),IF(IFERROR(INDEX('4'!$E$4:$E$103,MATCH($A17,'4'!$C$4:$C$103,0)),"")&lt;&gt;"",IFERROR(INDEX('4'!$E$4:$E$103,MATCH($A17,'4'!$C$4:$C$103,0)),""),IFERROR(INDEX('5'!$E$4:$E$103,MATCH($A17,'5'!$C$4:$C$103,0)),""))))))</f>
        <v>Junior (U19)</v>
      </c>
      <c r="D17" s="24" t="str">
        <f>IF($A17="","",IFERROR(INDEX(Barneveld!$A$4:$A$36,MATCH($A17,Barneveld!$C$4:$C$36,0)),""))</f>
        <v/>
      </c>
      <c r="E17" s="15">
        <f>IF($A17="",0,IFERROR(INDEX(Barneveld!$H$4:$H$36,MATCH($A17,Barneveld!$C$4:$C$36,0)),0))</f>
        <v>0</v>
      </c>
      <c r="F17" s="24">
        <f>IF($A17="","",IFERROR(INDEX(Baarn!$A$4:$A$38,MATCH($A17,Baarn!$C$4:$C$38,0)),""))</f>
        <v>21</v>
      </c>
      <c r="G17" s="15">
        <f>IF($A17="",0,IFERROR(INDEX(Baarn!$I$4:$I$38,MATCH($A17,Baarn!$C$4:$C$38,0)),0))</f>
        <v>22</v>
      </c>
      <c r="H17" s="24" t="str">
        <f>IF($A17="","",IFERROR(INDEX(Scherpenzeel!$A$4:$A$103,MATCH($A17,Scherpenzeel!$C$4:$C$103,0)),""))</f>
        <v/>
      </c>
      <c r="I17" s="15">
        <f>IF($A17="",0,IFERROR(INDEX(Scherpenzeel!$I$4:$I$103,MATCH($A17,Scherpenzeel!$C$4:$C$103,0)),0))</f>
        <v>0</v>
      </c>
      <c r="J17" s="24" t="str">
        <f>IF($A17="","",IFERROR(INDEX('4'!$A$4:$A$103,MATCH($A17,'4'!$C$4:$C$103,0)),""))</f>
        <v/>
      </c>
      <c r="K17" s="15">
        <f>IF($A17="",0,IFERROR(INDEX('4'!$I$4:$I$103,MATCH($A17,'4'!$C$4:$C$103,0)),0))</f>
        <v>0</v>
      </c>
      <c r="L17" s="24" t="str">
        <f>IF($A17="","",IFERROR(INDEX('5'!$A$4:$A$103,MATCH($A17,'5'!$C$4:$C$103,0)),""))</f>
        <v/>
      </c>
      <c r="M17" s="15">
        <f>IF($A17="",0,IFERROR(INDEX('5'!$I$4:$I$103,MATCH($A17,'5'!$C$4:$C$103,0)),0))</f>
        <v>0</v>
      </c>
      <c r="N17" s="25">
        <f t="shared" si="0"/>
        <v>22</v>
      </c>
      <c r="O17" s="26">
        <f t="shared" si="1"/>
        <v>14</v>
      </c>
      <c r="AA17" t="str">
        <f>IF(ISNUMBER(SEARCH("Junior",Barneveld!D20)),Barneveld!C20,"")</f>
        <v/>
      </c>
      <c r="AB17">
        <f>IF(AA17="",0,IF(COUNTIF($AA$1:AA17,AA17)=1,1,0))</f>
        <v>0</v>
      </c>
      <c r="AC17" t="str">
        <f>IF(AB17=1,COUNTIF($AB$1:AB17,1),"")</f>
        <v/>
      </c>
    </row>
    <row r="18" spans="1:29" x14ac:dyDescent="0.25">
      <c r="A18" s="13" t="str">
        <f>IFERROR(INDEX($AA$1:$AA$368,MATCH(3,$AC$1:$AC$368,0)),"")</f>
        <v>Deon Bergwerff</v>
      </c>
      <c r="B18" s="13" t="str">
        <f>IF($A18="","",IF(IFERROR(INDEX(Barneveld!$E$4:$E$36,MATCH($A18,Barneveld!$C$4:$C$36,0)),"")&lt;&gt;"",IFERROR(INDEX(Barneveld!$E$4:$E$36,MATCH($A18,Barneveld!$C$4:$C$36,0)),""),IF(IFERROR(INDEX(Baarn!$F$4:$F$38,MATCH($A18,Baarn!$C$4:$C$38,0)),"")&lt;&gt;"",IFERROR(INDEX(Baarn!$F$4:$F$38,MATCH($A18,Baarn!$C$4:$C$38,0)),""),IF(IFERROR(INDEX(Scherpenzeel!$F$4:$F$103,MATCH($A18,Scherpenzeel!$C$4:$C$103,0)),"")&lt;&gt;"",IFERROR(INDEX(Scherpenzeel!$F$4:$F$103,MATCH($A18,Scherpenzeel!$C$4:$C$103,0)),""),IF(IFERROR(INDEX('4'!$F$4:$F$103,MATCH($A18,'4'!$C$4:$C$103,0)),"")&lt;&gt;"",IFERROR(INDEX('4'!$F$4:$F$103,MATCH($A18,'4'!$C$4:$C$103,0)),""),IFERROR(INDEX('5'!$F$4:$F$103,MATCH($A18,'5'!$C$4:$C$103,0)),""))))))</f>
        <v>WV de Valleirenners AXA</v>
      </c>
      <c r="C18" s="13" t="str">
        <f>IF($A18="","",IF(IFERROR(INDEX(Barneveld!$D$4:$D$36,MATCH($A18,Barneveld!$C$4:$C$36,0)),"")&lt;&gt;"",IFERROR(INDEX(Barneveld!$D$4:$D$36,MATCH($A18,Barneveld!$C$4:$C$36,0)),""),IF(IFERROR(INDEX(Baarn!$E$4:$E$38,MATCH($A18,Baarn!$C$4:$C$38,0)),"")&lt;&gt;"",IFERROR(INDEX(Baarn!$E$4:$E$38,MATCH($A18,Baarn!$C$4:$C$38,0)),""),IF(IFERROR(INDEX(Scherpenzeel!$E$4:$E$103,MATCH($A18,Scherpenzeel!$C$4:$C$103,0)),"")&lt;&gt;"",IFERROR(INDEX(Scherpenzeel!$E$4:$E$103,MATCH($A18,Scherpenzeel!$C$4:$C$103,0)),""),IF(IFERROR(INDEX('4'!$E$4:$E$103,MATCH($A18,'4'!$C$4:$C$103,0)),"")&lt;&gt;"",IFERROR(INDEX('4'!$E$4:$E$103,MATCH($A18,'4'!$C$4:$C$103,0)),""),IFERROR(INDEX('5'!$E$4:$E$103,MATCH($A18,'5'!$C$4:$C$103,0)),""))))))</f>
        <v>Junior (U19)</v>
      </c>
      <c r="D18" s="24" t="str">
        <f>IF($A18="","",IFERROR(INDEX(Barneveld!$A$4:$A$36,MATCH($A18,Barneveld!$C$4:$C$36,0)),""))</f>
        <v>DNF</v>
      </c>
      <c r="E18" s="15">
        <f>IF($A18="",0,IFERROR(INDEX(Barneveld!$H$4:$H$36,MATCH($A18,Barneveld!$C$4:$C$36,0)),0))</f>
        <v>1</v>
      </c>
      <c r="F18" s="24">
        <f>IF($A18="","",IFERROR(INDEX(Baarn!$A$4:$A$38,MATCH($A18,Baarn!$C$4:$C$38,0)),""))</f>
        <v>23</v>
      </c>
      <c r="G18" s="15">
        <f>IF($A18="",0,IFERROR(INDEX(Baarn!$I$4:$I$38,MATCH($A18,Baarn!$C$4:$C$38,0)),0))</f>
        <v>16</v>
      </c>
      <c r="H18" s="24" t="str">
        <f>IF($A18="","",IFERROR(INDEX(Scherpenzeel!$A$4:$A$103,MATCH($A18,Scherpenzeel!$C$4:$C$103,0)),""))</f>
        <v>29</v>
      </c>
      <c r="I18" s="15">
        <v>4</v>
      </c>
      <c r="J18" s="24" t="str">
        <f>IF($A18="","",IFERROR(INDEX('4'!$A$4:$A$103,MATCH($A18,'4'!$C$4:$C$103,0)),""))</f>
        <v/>
      </c>
      <c r="K18" s="15">
        <f>IF($A18="",0,IFERROR(INDEX('4'!$I$4:$I$103,MATCH($A18,'4'!$C$4:$C$103,0)),0))</f>
        <v>0</v>
      </c>
      <c r="L18" s="24" t="str">
        <f>IF($A18="","",IFERROR(INDEX('5'!$A$4:$A$103,MATCH($A18,'5'!$C$4:$C$103,0)),""))</f>
        <v/>
      </c>
      <c r="M18" s="15">
        <f>IF($A18="",0,IFERROR(INDEX('5'!$I$4:$I$103,MATCH($A18,'5'!$C$4:$C$103,0)),0))</f>
        <v>0</v>
      </c>
      <c r="N18" s="25">
        <f t="shared" si="0"/>
        <v>21</v>
      </c>
      <c r="O18" s="26">
        <f t="shared" si="1"/>
        <v>15</v>
      </c>
      <c r="AA18" t="str">
        <f>IF(ISNUMBER(SEARCH("Junior",Barneveld!D21)),Barneveld!C21,"")</f>
        <v/>
      </c>
      <c r="AB18">
        <f>IF(AA18="",0,IF(COUNTIF($AA$1:AA18,AA18)=1,1,0))</f>
        <v>0</v>
      </c>
      <c r="AC18" t="str">
        <f>IF(AB18=1,COUNTIF($AB$1:AB18,1),"")</f>
        <v/>
      </c>
    </row>
    <row r="19" spans="1:29" x14ac:dyDescent="0.25">
      <c r="A19" s="13" t="str">
        <f>IFERROR(INDEX($AA$1:$AA$368,MATCH(17,$AC$1:$AC$368,0)),"")</f>
        <v>Marijn van Buren</v>
      </c>
      <c r="B19" s="13" t="str">
        <f>IF($A19="","",IF(IFERROR(INDEX(Barneveld!$E$4:$E$36,MATCH($A19,Barneveld!$C$4:$C$36,0)),"")&lt;&gt;"",IFERROR(INDEX(Barneveld!$E$4:$E$36,MATCH($A19,Barneveld!$C$4:$C$36,0)),""),IF(IFERROR(INDEX(Baarn!$F$4:$F$38,MATCH($A19,Baarn!$C$4:$C$38,0)),"")&lt;&gt;"",IFERROR(INDEX(Baarn!$F$4:$F$38,MATCH($A19,Baarn!$C$4:$C$38,0)),""),IF(IFERROR(INDEX(Scherpenzeel!$F$4:$F$103,MATCH($A19,Scherpenzeel!$C$4:$C$103,0)),"")&lt;&gt;"",IFERROR(INDEX(Scherpenzeel!$F$4:$F$103,MATCH($A19,Scherpenzeel!$C$4:$C$103,0)),""),IF(IFERROR(INDEX('4'!$F$4:$F$103,MATCH($A19,'4'!$C$4:$C$103,0)),"")&lt;&gt;"",IFERROR(INDEX('4'!$F$4:$F$103,MATCH($A19,'4'!$C$4:$C$103,0)),""),IFERROR(INDEX('5'!$F$4:$F$103,MATCH($A19,'5'!$C$4:$C$103,0)),""))))))</f>
        <v>DRC de Mol</v>
      </c>
      <c r="C19" s="13" t="str">
        <f>IF($A19="","",IF(IFERROR(INDEX(Barneveld!$D$4:$D$36,MATCH($A19,Barneveld!$C$4:$C$36,0)),"")&lt;&gt;"",IFERROR(INDEX(Barneveld!$D$4:$D$36,MATCH($A19,Barneveld!$C$4:$C$36,0)),""),IF(IFERROR(INDEX(Baarn!$E$4:$E$38,MATCH($A19,Baarn!$C$4:$C$38,0)),"")&lt;&gt;"",IFERROR(INDEX(Baarn!$E$4:$E$38,MATCH($A19,Baarn!$C$4:$C$38,0)),""),IF(IFERROR(INDEX(Scherpenzeel!$E$4:$E$103,MATCH($A19,Scherpenzeel!$C$4:$C$103,0)),"")&lt;&gt;"",IFERROR(INDEX(Scherpenzeel!$E$4:$E$103,MATCH($A19,Scherpenzeel!$C$4:$C$103,0)),""),IF(IFERROR(INDEX('4'!$E$4:$E$103,MATCH($A19,'4'!$C$4:$C$103,0)),"")&lt;&gt;"",IFERROR(INDEX('4'!$E$4:$E$103,MATCH($A19,'4'!$C$4:$C$103,0)),""),IFERROR(INDEX('5'!$E$4:$E$103,MATCH($A19,'5'!$C$4:$C$103,0)),""))))))</f>
        <v>Junior (U19)</v>
      </c>
      <c r="D19" s="24" t="str">
        <f>IF($A19="","",IFERROR(INDEX(Barneveld!$A$4:$A$36,MATCH($A19,Barneveld!$C$4:$C$36,0)),""))</f>
        <v/>
      </c>
      <c r="E19" s="15">
        <f>IF($A19="",0,IFERROR(INDEX(Barneveld!$H$4:$H$36,MATCH($A19,Barneveld!$C$4:$C$36,0)),0))</f>
        <v>0</v>
      </c>
      <c r="F19" s="24" t="str">
        <f>IF($A19="","",IFERROR(INDEX(Baarn!$A$4:$A$38,MATCH($A19,Baarn!$C$4:$C$38,0)),""))</f>
        <v/>
      </c>
      <c r="G19" s="15">
        <f>IF($A19="",0,IFERROR(INDEX(Baarn!$I$4:$I$38,MATCH($A19,Baarn!$C$4:$C$38,0)),0))</f>
        <v>0</v>
      </c>
      <c r="H19" s="24" t="str">
        <f>IF($A19="","",IFERROR(INDEX(Scherpenzeel!$A$4:$A$103,MATCH($A19,Scherpenzeel!$C$4:$C$103,0)),""))</f>
        <v>26</v>
      </c>
      <c r="I19" s="15">
        <v>10</v>
      </c>
      <c r="J19" s="24" t="str">
        <f>IF($A19="","",IFERROR(INDEX('4'!$A$4:$A$103,MATCH($A19,'4'!$C$4:$C$103,0)),""))</f>
        <v/>
      </c>
      <c r="K19" s="15">
        <f>IF($A19="",0,IFERROR(INDEX('4'!$I$4:$I$103,MATCH($A19,'4'!$C$4:$C$103,0)),0))</f>
        <v>0</v>
      </c>
      <c r="L19" s="24" t="str">
        <f>IF($A19="","",IFERROR(INDEX('5'!$A$4:$A$103,MATCH($A19,'5'!$C$4:$C$103,0)),""))</f>
        <v/>
      </c>
      <c r="M19" s="15">
        <f>IF($A19="",0,IFERROR(INDEX('5'!$I$4:$I$103,MATCH($A19,'5'!$C$4:$C$103,0)),0))</f>
        <v>0</v>
      </c>
      <c r="N19" s="25">
        <f t="shared" si="0"/>
        <v>10</v>
      </c>
      <c r="O19" s="26">
        <f t="shared" si="1"/>
        <v>16</v>
      </c>
      <c r="AA19" t="str">
        <f>IF(ISNUMBER(SEARCH("Junior",Barneveld!D22)),Barneveld!C22,"")</f>
        <v/>
      </c>
      <c r="AB19">
        <f>IF(AA19="",0,IF(COUNTIF($AA$1:AA19,AA19)=1,1,0))</f>
        <v>0</v>
      </c>
      <c r="AC19" t="str">
        <f>IF(AB19=1,COUNTIF($AB$1:AB19,1),"")</f>
        <v/>
      </c>
    </row>
    <row r="20" spans="1:29" x14ac:dyDescent="0.25">
      <c r="A20" s="13" t="str">
        <f>IFERROR(INDEX($AA$1:$AA$368,MATCH(18,$AC$1:$AC$368,0)),"")</f>
        <v>Roan van de Steeg</v>
      </c>
      <c r="B20" s="13" t="str">
        <f>IF($A20="","",IF(IFERROR(INDEX(Barneveld!$E$4:$E$36,MATCH($A20,Barneveld!$C$4:$C$36,0)),"")&lt;&gt;"",IFERROR(INDEX(Barneveld!$E$4:$E$36,MATCH($A20,Barneveld!$C$4:$C$36,0)),""),IF(IFERROR(INDEX(Baarn!$F$4:$F$38,MATCH($A20,Baarn!$C$4:$C$38,0)),"")&lt;&gt;"",IFERROR(INDEX(Baarn!$F$4:$F$38,MATCH($A20,Baarn!$C$4:$C$38,0)),""),IF(IFERROR(INDEX(Scherpenzeel!$F$4:$F$103,MATCH($A20,Scherpenzeel!$C$4:$C$103,0)),"")&lt;&gt;"",IFERROR(INDEX(Scherpenzeel!$F$4:$F$103,MATCH($A20,Scherpenzeel!$C$4:$C$103,0)),""),IF(IFERROR(INDEX('4'!$F$4:$F$103,MATCH($A20,'4'!$C$4:$C$103,0)),"")&lt;&gt;"",IFERROR(INDEX('4'!$F$4:$F$103,MATCH($A20,'4'!$C$4:$C$103,0)),""),IFERROR(INDEX('5'!$F$4:$F$103,MATCH($A20,'5'!$C$4:$C$103,0)),""))))))</f>
        <v>W.V. Eemland</v>
      </c>
      <c r="C20" s="13" t="str">
        <f>IF($A20="","",IF(IFERROR(INDEX(Barneveld!$D$4:$D$36,MATCH($A20,Barneveld!$C$4:$C$36,0)),"")&lt;&gt;"",IFERROR(INDEX(Barneveld!$D$4:$D$36,MATCH($A20,Barneveld!$C$4:$C$36,0)),""),IF(IFERROR(INDEX(Baarn!$E$4:$E$38,MATCH($A20,Baarn!$C$4:$C$38,0)),"")&lt;&gt;"",IFERROR(INDEX(Baarn!$E$4:$E$38,MATCH($A20,Baarn!$C$4:$C$38,0)),""),IF(IFERROR(INDEX(Scherpenzeel!$E$4:$E$103,MATCH($A20,Scherpenzeel!$C$4:$C$103,0)),"")&lt;&gt;"",IFERROR(INDEX(Scherpenzeel!$E$4:$E$103,MATCH($A20,Scherpenzeel!$C$4:$C$103,0)),""),IF(IFERROR(INDEX('4'!$E$4:$E$103,MATCH($A20,'4'!$C$4:$C$103,0)),"")&lt;&gt;"",IFERROR(INDEX('4'!$E$4:$E$103,MATCH($A20,'4'!$C$4:$C$103,0)),""),IFERROR(INDEX('5'!$E$4:$E$103,MATCH($A20,'5'!$C$4:$C$103,0)),""))))))</f>
        <v>Junior (U19)</v>
      </c>
      <c r="D20" s="24" t="str">
        <f>IF($A20="","",IFERROR(INDEX(Barneveld!$A$4:$A$36,MATCH($A20,Barneveld!$C$4:$C$36,0)),""))</f>
        <v/>
      </c>
      <c r="E20" s="15">
        <f>IF($A20="",0,IFERROR(INDEX(Barneveld!$H$4:$H$36,MATCH($A20,Barneveld!$C$4:$C$36,0)),0))</f>
        <v>0</v>
      </c>
      <c r="F20" s="24" t="str">
        <f>IF($A20="","",IFERROR(INDEX(Baarn!$A$4:$A$38,MATCH($A20,Baarn!$C$4:$C$38,0)),""))</f>
        <v/>
      </c>
      <c r="G20" s="15">
        <f>IF($A20="",0,IFERROR(INDEX(Baarn!$I$4:$I$38,MATCH($A20,Baarn!$C$4:$C$38,0)),0))</f>
        <v>0</v>
      </c>
      <c r="H20" s="24" t="str">
        <f>IF($A20="","",IFERROR(INDEX(Scherpenzeel!$A$4:$A$103,MATCH($A20,Scherpenzeel!$C$4:$C$103,0)),""))</f>
        <v>27</v>
      </c>
      <c r="I20" s="15">
        <v>8</v>
      </c>
      <c r="J20" s="24" t="str">
        <f>IF($A20="","",IFERROR(INDEX('4'!$A$4:$A$103,MATCH($A20,'4'!$C$4:$C$103,0)),""))</f>
        <v/>
      </c>
      <c r="K20" s="15">
        <f>IF($A20="",0,IFERROR(INDEX('4'!$I$4:$I$103,MATCH($A20,'4'!$C$4:$C$103,0)),0))</f>
        <v>0</v>
      </c>
      <c r="L20" s="24" t="str">
        <f>IF($A20="","",IFERROR(INDEX('5'!$A$4:$A$103,MATCH($A20,'5'!$C$4:$C$103,0)),""))</f>
        <v/>
      </c>
      <c r="M20" s="15">
        <f>IF($A20="",0,IFERROR(INDEX('5'!$I$4:$I$103,MATCH($A20,'5'!$C$4:$C$103,0)),0))</f>
        <v>0</v>
      </c>
      <c r="N20" s="25">
        <f t="shared" si="0"/>
        <v>8</v>
      </c>
      <c r="O20" s="26">
        <f t="shared" si="1"/>
        <v>17</v>
      </c>
      <c r="AA20" t="str">
        <f>IF(ISNUMBER(SEARCH("Junior",Barneveld!D23)),Barneveld!C23,"")</f>
        <v/>
      </c>
      <c r="AB20">
        <f>IF(AA20="",0,IF(COUNTIF($AA$1:AA20,AA20)=1,1,0))</f>
        <v>0</v>
      </c>
      <c r="AC20" t="str">
        <f>IF(AB20=1,COUNTIF($AB$1:AB20,1),"")</f>
        <v/>
      </c>
    </row>
    <row r="21" spans="1:29" x14ac:dyDescent="0.25">
      <c r="A21" s="13" t="str">
        <f>IFERROR(INDEX($AA$1:$AA$368,MATCH(19,$AC$1:$AC$368,0)),"")</f>
        <v>Finn Bouwer</v>
      </c>
      <c r="B21" s="13" t="str">
        <f>IF($A21="","",IF(IFERROR(INDEX(Barneveld!$E$4:$E$36,MATCH($A21,Barneveld!$C$4:$C$36,0)),"")&lt;&gt;"",IFERROR(INDEX(Barneveld!$E$4:$E$36,MATCH($A21,Barneveld!$C$4:$C$36,0)),""),IF(IFERROR(INDEX(Baarn!$F$4:$F$38,MATCH($A21,Baarn!$C$4:$C$38,0)),"")&lt;&gt;"",IFERROR(INDEX(Baarn!$F$4:$F$38,MATCH($A21,Baarn!$C$4:$C$38,0)),""),IF(IFERROR(INDEX(Scherpenzeel!$F$4:$F$103,MATCH($A21,Scherpenzeel!$C$4:$C$103,0)),"")&lt;&gt;"",IFERROR(INDEX(Scherpenzeel!$F$4:$F$103,MATCH($A21,Scherpenzeel!$C$4:$C$103,0)),""),IF(IFERROR(INDEX('4'!$F$4:$F$103,MATCH($A21,'4'!$C$4:$C$103,0)),"")&lt;&gt;"",IFERROR(INDEX('4'!$F$4:$F$103,MATCH($A21,'4'!$C$4:$C$103,0)),""),IFERROR(INDEX('5'!$F$4:$F$103,MATCH($A21,'5'!$C$4:$C$103,0)),""))))))</f>
        <v>LRTV Swift</v>
      </c>
      <c r="C21" s="13" t="str">
        <f>IF($A21="","",IF(IFERROR(INDEX(Barneveld!$D$4:$D$36,MATCH($A21,Barneveld!$C$4:$C$36,0)),"")&lt;&gt;"",IFERROR(INDEX(Barneveld!$D$4:$D$36,MATCH($A21,Barneveld!$C$4:$C$36,0)),""),IF(IFERROR(INDEX(Baarn!$E$4:$E$38,MATCH($A21,Baarn!$C$4:$C$38,0)),"")&lt;&gt;"",IFERROR(INDEX(Baarn!$E$4:$E$38,MATCH($A21,Baarn!$C$4:$C$38,0)),""),IF(IFERROR(INDEX(Scherpenzeel!$E$4:$E$103,MATCH($A21,Scherpenzeel!$C$4:$C$103,0)),"")&lt;&gt;"",IFERROR(INDEX(Scherpenzeel!$E$4:$E$103,MATCH($A21,Scherpenzeel!$C$4:$C$103,0)),""),IF(IFERROR(INDEX('4'!$E$4:$E$103,MATCH($A21,'4'!$C$4:$C$103,0)),"")&lt;&gt;"",IFERROR(INDEX('4'!$E$4:$E$103,MATCH($A21,'4'!$C$4:$C$103,0)),""),IFERROR(INDEX('5'!$E$4:$E$103,MATCH($A21,'5'!$C$4:$C$103,0)),""))))))</f>
        <v>Junior (U19)</v>
      </c>
      <c r="D21" s="24" t="str">
        <f>IF($A21="","",IFERROR(INDEX(Barneveld!$A$4:$A$36,MATCH($A21,Barneveld!$C$4:$C$36,0)),""))</f>
        <v/>
      </c>
      <c r="E21" s="15">
        <f>IF($A21="",0,IFERROR(INDEX(Barneveld!$H$4:$H$36,MATCH($A21,Barneveld!$C$4:$C$36,0)),0))</f>
        <v>0</v>
      </c>
      <c r="F21" s="24" t="str">
        <f>IF($A21="","",IFERROR(INDEX(Baarn!$A$4:$A$38,MATCH($A21,Baarn!$C$4:$C$38,0)),""))</f>
        <v/>
      </c>
      <c r="G21" s="15">
        <f>IF($A21="",0,IFERROR(INDEX(Baarn!$I$4:$I$38,MATCH($A21,Baarn!$C$4:$C$38,0)),0))</f>
        <v>0</v>
      </c>
      <c r="H21" s="24" t="str">
        <f>IF($A21="","",IFERROR(INDEX(Scherpenzeel!$A$4:$A$103,MATCH($A21,Scherpenzeel!$C$4:$C$103,0)),""))</f>
        <v>28</v>
      </c>
      <c r="I21" s="15">
        <v>6</v>
      </c>
      <c r="J21" s="24" t="str">
        <f>IF($A21="","",IFERROR(INDEX('4'!$A$4:$A$103,MATCH($A21,'4'!$C$4:$C$103,0)),""))</f>
        <v/>
      </c>
      <c r="K21" s="15">
        <f>IF($A21="",0,IFERROR(INDEX('4'!$I$4:$I$103,MATCH($A21,'4'!$C$4:$C$103,0)),0))</f>
        <v>0</v>
      </c>
      <c r="L21" s="24" t="str">
        <f>IF($A21="","",IFERROR(INDEX('5'!$A$4:$A$103,MATCH($A21,'5'!$C$4:$C$103,0)),""))</f>
        <v/>
      </c>
      <c r="M21" s="15">
        <f>IF($A21="",0,IFERROR(INDEX('5'!$I$4:$I$103,MATCH($A21,'5'!$C$4:$C$103,0)),0))</f>
        <v>0</v>
      </c>
      <c r="N21" s="25">
        <f t="shared" si="0"/>
        <v>6</v>
      </c>
      <c r="O21" s="26">
        <f t="shared" si="1"/>
        <v>18</v>
      </c>
      <c r="AA21" t="str">
        <f>IF(ISNUMBER(SEARCH("Junior",Barneveld!D24)),Barneveld!C24,"")</f>
        <v/>
      </c>
      <c r="AB21">
        <f>IF(AA21="",0,IF(COUNTIF($AA$1:AA21,AA21)=1,1,0))</f>
        <v>0</v>
      </c>
      <c r="AC21" t="str">
        <f>IF(AB21=1,COUNTIF($AB$1:AB21,1),"")</f>
        <v/>
      </c>
    </row>
    <row r="22" spans="1:29" x14ac:dyDescent="0.25">
      <c r="A22" s="13" t="str">
        <f>IFERROR(INDEX($AA$1:$AA$368,MATCH(13,$AC$1:$AC$368,0)),"")</f>
        <v>Pim Jansen</v>
      </c>
      <c r="B22" s="13" t="str">
        <f>IF($A22="","",IF(IFERROR(INDEX(Barneveld!$E$4:$E$36,MATCH($A22,Barneveld!$C$4:$C$36,0)),"")&lt;&gt;"",IFERROR(INDEX(Barneveld!$E$4:$E$36,MATCH($A22,Barneveld!$C$4:$C$36,0)),""),IF(IFERROR(INDEX(Baarn!$F$4:$F$38,MATCH($A22,Baarn!$C$4:$C$38,0)),"")&lt;&gt;"",IFERROR(INDEX(Baarn!$F$4:$F$38,MATCH($A22,Baarn!$C$4:$C$38,0)),""),IF(IFERROR(INDEX(Scherpenzeel!$F$4:$F$103,MATCH($A22,Scherpenzeel!$C$4:$C$103,0)),"")&lt;&gt;"",IFERROR(INDEX(Scherpenzeel!$F$4:$F$103,MATCH($A22,Scherpenzeel!$C$4:$C$103,0)),""),IF(IFERROR(INDEX('4'!$F$4:$F$103,MATCH($A22,'4'!$C$4:$C$103,0)),"")&lt;&gt;"",IFERROR(INDEX('4'!$F$4:$F$103,MATCH($A22,'4'!$C$4:$C$103,0)),""),IFERROR(INDEX('5'!$F$4:$F$103,MATCH($A22,'5'!$C$4:$C$103,0)),""))))))</f>
        <v>WV Schijndel</v>
      </c>
      <c r="C22" s="13" t="str">
        <f>IF($A22="","",IF(IFERROR(INDEX(Barneveld!$D$4:$D$36,MATCH($A22,Barneveld!$C$4:$C$36,0)),"")&lt;&gt;"",IFERROR(INDEX(Barneveld!$D$4:$D$36,MATCH($A22,Barneveld!$C$4:$C$36,0)),""),IF(IFERROR(INDEX(Baarn!$E$4:$E$38,MATCH($A22,Baarn!$C$4:$C$38,0)),"")&lt;&gt;"",IFERROR(INDEX(Baarn!$E$4:$E$38,MATCH($A22,Baarn!$C$4:$C$38,0)),""),IF(IFERROR(INDEX(Scherpenzeel!$E$4:$E$103,MATCH($A22,Scherpenzeel!$C$4:$C$103,0)),"")&lt;&gt;"",IFERROR(INDEX(Scherpenzeel!$E$4:$E$103,MATCH($A22,Scherpenzeel!$C$4:$C$103,0)),""),IF(IFERROR(INDEX('4'!$E$4:$E$103,MATCH($A22,'4'!$C$4:$C$103,0)),"")&lt;&gt;"",IFERROR(INDEX('4'!$E$4:$E$103,MATCH($A22,'4'!$C$4:$C$103,0)),""),IFERROR(INDEX('5'!$E$4:$E$103,MATCH($A22,'5'!$C$4:$C$103,0)),""))))))</f>
        <v>Junior (U19)</v>
      </c>
      <c r="D22" s="24" t="str">
        <f>IF($A22="","",IFERROR(INDEX(Barneveld!$A$4:$A$36,MATCH($A22,Barneveld!$C$4:$C$36,0)),""))</f>
        <v/>
      </c>
      <c r="E22" s="15">
        <f>IF($A22="",0,IFERROR(INDEX(Barneveld!$H$4:$H$36,MATCH($A22,Barneveld!$C$4:$C$36,0)),0))</f>
        <v>0</v>
      </c>
      <c r="F22" s="24" t="str">
        <f>IF($A22="","",IFERROR(INDEX(Baarn!$A$4:$A$38,MATCH($A22,Baarn!$C$4:$C$38,0)),""))</f>
        <v>DNF</v>
      </c>
      <c r="G22" s="15">
        <f>IF($A22="",0,IFERROR(INDEX(Baarn!$I$4:$I$38,MATCH($A22,Baarn!$C$4:$C$38,0)),0))</f>
        <v>1</v>
      </c>
      <c r="H22" s="24" t="str">
        <f>IF($A22="","",IFERROR(INDEX(Scherpenzeel!$A$4:$A$103,MATCH($A22,Scherpenzeel!$C$4:$C$103,0)),""))</f>
        <v/>
      </c>
      <c r="I22" s="15">
        <f>IF($A22="",0,IFERROR(INDEX(Scherpenzeel!$I$4:$I$103,MATCH($A22,Scherpenzeel!$C$4:$C$103,0)),0))</f>
        <v>0</v>
      </c>
      <c r="J22" s="24" t="str">
        <f>IF($A22="","",IFERROR(INDEX('4'!$A$4:$A$103,MATCH($A22,'4'!$C$4:$C$103,0)),""))</f>
        <v/>
      </c>
      <c r="K22" s="15">
        <f>IF($A22="",0,IFERROR(INDEX('4'!$I$4:$I$103,MATCH($A22,'4'!$C$4:$C$103,0)),0))</f>
        <v>0</v>
      </c>
      <c r="L22" s="24" t="str">
        <f>IF($A22="","",IFERROR(INDEX('5'!$A$4:$A$103,MATCH($A22,'5'!$C$4:$C$103,0)),""))</f>
        <v/>
      </c>
      <c r="M22" s="15">
        <f>IF($A22="",0,IFERROR(INDEX('5'!$I$4:$I$103,MATCH($A22,'5'!$C$4:$C$103,0)),0))</f>
        <v>0</v>
      </c>
      <c r="N22" s="25">
        <f t="shared" si="0"/>
        <v>1</v>
      </c>
      <c r="O22" s="26">
        <f t="shared" si="1"/>
        <v>19</v>
      </c>
      <c r="AA22" t="str">
        <f>IF(ISNUMBER(SEARCH("Junior",Barneveld!D25)),Barneveld!C25,"")</f>
        <v/>
      </c>
      <c r="AB22">
        <f>IF(AA22="",0,IF(COUNTIF($AA$1:AA22,AA22)=1,1,0))</f>
        <v>0</v>
      </c>
      <c r="AC22" t="str">
        <f>IF(AB22=1,COUNTIF($AB$1:AB22,1),"")</f>
        <v/>
      </c>
    </row>
    <row r="23" spans="1:29" x14ac:dyDescent="0.25">
      <c r="A23" s="13" t="str">
        <f>IFERROR(INDEX($AA$1:$AA$368,MATCH(20,$AC$1:$AC$368,0)),"")</f>
        <v>Camiel Beuker</v>
      </c>
      <c r="B23" s="13" t="str">
        <f>IF($A23="","",IF(IFERROR(INDEX(Barneveld!$E$4:$E$36,MATCH($A23,Barneveld!$C$4:$C$36,0)),"")&lt;&gt;"",IFERROR(INDEX(Barneveld!$E$4:$E$36,MATCH($A23,Barneveld!$C$4:$C$36,0)),""),IF(IFERROR(INDEX(Baarn!$F$4:$F$38,MATCH($A23,Baarn!$C$4:$C$38,0)),"")&lt;&gt;"",IFERROR(INDEX(Baarn!$F$4:$F$38,MATCH($A23,Baarn!$C$4:$C$38,0)),""),IF(IFERROR(INDEX(Scherpenzeel!$F$4:$F$103,MATCH($A23,Scherpenzeel!$C$4:$C$103,0)),"")&lt;&gt;"",IFERROR(INDEX(Scherpenzeel!$F$4:$F$103,MATCH($A23,Scherpenzeel!$C$4:$C$103,0)),""),IF(IFERROR(INDEX('4'!$F$4:$F$103,MATCH($A23,'4'!$C$4:$C$103,0)),"")&lt;&gt;"",IFERROR(INDEX('4'!$F$4:$F$103,MATCH($A23,'4'!$C$4:$C$103,0)),""),IFERROR(INDEX('5'!$F$4:$F$103,MATCH($A23,'5'!$C$4:$C$103,0)),""))))))</f>
        <v>WV Het Stadion</v>
      </c>
      <c r="C23" s="13" t="str">
        <f>IF($A23="","",IF(IFERROR(INDEX(Barneveld!$D$4:$D$36,MATCH($A23,Barneveld!$C$4:$C$36,0)),"")&lt;&gt;"",IFERROR(INDEX(Barneveld!$D$4:$D$36,MATCH($A23,Barneveld!$C$4:$C$36,0)),""),IF(IFERROR(INDEX(Baarn!$E$4:$E$38,MATCH($A23,Baarn!$C$4:$C$38,0)),"")&lt;&gt;"",IFERROR(INDEX(Baarn!$E$4:$E$38,MATCH($A23,Baarn!$C$4:$C$38,0)),""),IF(IFERROR(INDEX(Scherpenzeel!$E$4:$E$103,MATCH($A23,Scherpenzeel!$C$4:$C$103,0)),"")&lt;&gt;"",IFERROR(INDEX(Scherpenzeel!$E$4:$E$103,MATCH($A23,Scherpenzeel!$C$4:$C$103,0)),""),IF(IFERROR(INDEX('4'!$E$4:$E$103,MATCH($A23,'4'!$C$4:$C$103,0)),"")&lt;&gt;"",IFERROR(INDEX('4'!$E$4:$E$103,MATCH($A23,'4'!$C$4:$C$103,0)),""),IFERROR(INDEX('5'!$E$4:$E$103,MATCH($A23,'5'!$C$4:$C$103,0)),""))))))</f>
        <v>Junior (U19)</v>
      </c>
      <c r="D23" s="24" t="str">
        <f>IF($A23="","",IFERROR(INDEX(Barneveld!$A$4:$A$36,MATCH($A23,Barneveld!$C$4:$C$36,0)),""))</f>
        <v/>
      </c>
      <c r="E23" s="15">
        <f>IF($A23="",0,IFERROR(INDEX(Barneveld!$H$4:$H$36,MATCH($A23,Barneveld!$C$4:$C$36,0)),0))</f>
        <v>0</v>
      </c>
      <c r="F23" s="24" t="str">
        <f>IF($A23="","",IFERROR(INDEX(Baarn!$A$4:$A$38,MATCH($A23,Baarn!$C$4:$C$38,0)),""))</f>
        <v/>
      </c>
      <c r="G23" s="15">
        <f>IF($A23="",0,IFERROR(INDEX(Baarn!$I$4:$I$38,MATCH($A23,Baarn!$C$4:$C$38,0)),0))</f>
        <v>0</v>
      </c>
      <c r="H23" s="24" t="str">
        <f>IF($A23="","",IFERROR(INDEX(Scherpenzeel!$A$4:$A$103,MATCH($A23,Scherpenzeel!$C$4:$C$103,0)),""))</f>
        <v>DNF</v>
      </c>
      <c r="I23" s="15">
        <f>IF($A23="",0,IFERROR(INDEX(Scherpenzeel!$I$4:$I$103,MATCH($A23,Scherpenzeel!$C$4:$C$103,0)),0))</f>
        <v>1</v>
      </c>
      <c r="J23" s="24" t="str">
        <f>IF($A23="","",IFERROR(INDEX('4'!$A$4:$A$103,MATCH($A23,'4'!$C$4:$C$103,0)),""))</f>
        <v/>
      </c>
      <c r="K23" s="15">
        <f>IF($A23="",0,IFERROR(INDEX('4'!$I$4:$I$103,MATCH($A23,'4'!$C$4:$C$103,0)),0))</f>
        <v>0</v>
      </c>
      <c r="L23" s="24" t="str">
        <f>IF($A23="","",IFERROR(INDEX('5'!$A$4:$A$103,MATCH($A23,'5'!$C$4:$C$103,0)),""))</f>
        <v/>
      </c>
      <c r="M23" s="15">
        <f>IF($A23="",0,IFERROR(INDEX('5'!$I$4:$I$103,MATCH($A23,'5'!$C$4:$C$103,0)),0))</f>
        <v>0</v>
      </c>
      <c r="N23" s="25">
        <f t="shared" si="0"/>
        <v>1</v>
      </c>
      <c r="O23" s="26">
        <f t="shared" si="1"/>
        <v>19</v>
      </c>
      <c r="AA23" t="str">
        <f>IF(ISNUMBER(SEARCH("Junior",Barneveld!D26)),Barneveld!C26,"")</f>
        <v/>
      </c>
      <c r="AB23">
        <f>IF(AA23="",0,IF(COUNTIF($AA$1:AA23,AA23)=1,1,0))</f>
        <v>0</v>
      </c>
      <c r="AC23" t="str">
        <f>IF(AB23=1,COUNTIF($AB$1:AB23,1),"")</f>
        <v/>
      </c>
    </row>
    <row r="24" spans="1:29" x14ac:dyDescent="0.25">
      <c r="A24" s="13" t="str">
        <f>IFERROR(INDEX($AA$1:$AA$368,MATCH(21,$AC$1:$AC$368,0)),"")</f>
        <v>Rick Schuurman</v>
      </c>
      <c r="B24" s="13" t="str">
        <f>IF($A24="","",IF(IFERROR(INDEX(Barneveld!$E$4:$E$36,MATCH($A24,Barneveld!$C$4:$C$36,0)),"")&lt;&gt;"",IFERROR(INDEX(Barneveld!$E$4:$E$36,MATCH($A24,Barneveld!$C$4:$C$36,0)),""),IF(IFERROR(INDEX(Baarn!$F$4:$F$38,MATCH($A24,Baarn!$C$4:$C$38,0)),"")&lt;&gt;"",IFERROR(INDEX(Baarn!$F$4:$F$38,MATCH($A24,Baarn!$C$4:$C$38,0)),""),IF(IFERROR(INDEX(Scherpenzeel!$F$4:$F$103,MATCH($A24,Scherpenzeel!$C$4:$C$103,0)),"")&lt;&gt;"",IFERROR(INDEX(Scherpenzeel!$F$4:$F$103,MATCH($A24,Scherpenzeel!$C$4:$C$103,0)),""),IF(IFERROR(INDEX('4'!$F$4:$F$103,MATCH($A24,'4'!$C$4:$C$103,0)),"")&lt;&gt;"",IFERROR(INDEX('4'!$F$4:$F$103,MATCH($A24,'4'!$C$4:$C$103,0)),""),IFERROR(INDEX('5'!$F$4:$F$103,MATCH($A24,'5'!$C$4:$C$103,0)),""))))))</f>
        <v>WSV de Peddelaars</v>
      </c>
      <c r="C24" s="13" t="str">
        <f>IF($A24="","",IF(IFERROR(INDEX(Barneveld!$D$4:$D$36,MATCH($A24,Barneveld!$C$4:$C$36,0)),"")&lt;&gt;"",IFERROR(INDEX(Barneveld!$D$4:$D$36,MATCH($A24,Barneveld!$C$4:$C$36,0)),""),IF(IFERROR(INDEX(Baarn!$E$4:$E$38,MATCH($A24,Baarn!$C$4:$C$38,0)),"")&lt;&gt;"",IFERROR(INDEX(Baarn!$E$4:$E$38,MATCH($A24,Baarn!$C$4:$C$38,0)),""),IF(IFERROR(INDEX(Scherpenzeel!$E$4:$E$103,MATCH($A24,Scherpenzeel!$C$4:$C$103,0)),"")&lt;&gt;"",IFERROR(INDEX(Scherpenzeel!$E$4:$E$103,MATCH($A24,Scherpenzeel!$C$4:$C$103,0)),""),IF(IFERROR(INDEX('4'!$E$4:$E$103,MATCH($A24,'4'!$C$4:$C$103,0)),"")&lt;&gt;"",IFERROR(INDEX('4'!$E$4:$E$103,MATCH($A24,'4'!$C$4:$C$103,0)),""),IFERROR(INDEX('5'!$E$4:$E$103,MATCH($A24,'5'!$C$4:$C$103,0)),""))))))</f>
        <v>Junior (U19)</v>
      </c>
      <c r="D24" s="24" t="str">
        <f>IF($A24="","",IFERROR(INDEX(Barneveld!$A$4:$A$36,MATCH($A24,Barneveld!$C$4:$C$36,0)),""))</f>
        <v/>
      </c>
      <c r="E24" s="15">
        <f>IF($A24="",0,IFERROR(INDEX(Barneveld!$H$4:$H$36,MATCH($A24,Barneveld!$C$4:$C$36,0)),0))</f>
        <v>0</v>
      </c>
      <c r="F24" s="24" t="str">
        <f>IF($A24="","",IFERROR(INDEX(Baarn!$A$4:$A$38,MATCH($A24,Baarn!$C$4:$C$38,0)),""))</f>
        <v/>
      </c>
      <c r="G24" s="15">
        <f>IF($A24="",0,IFERROR(INDEX(Baarn!$I$4:$I$38,MATCH($A24,Baarn!$C$4:$C$38,0)),0))</f>
        <v>0</v>
      </c>
      <c r="H24" s="24" t="str">
        <f>IF($A24="","",IFERROR(INDEX(Scherpenzeel!$A$4:$A$103,MATCH($A24,Scherpenzeel!$C$4:$C$103,0)),""))</f>
        <v>DNF</v>
      </c>
      <c r="I24" s="15">
        <f>IF($A24="",0,IFERROR(INDEX(Scherpenzeel!$I$4:$I$103,MATCH($A24,Scherpenzeel!$C$4:$C$103,0)),0))</f>
        <v>1</v>
      </c>
      <c r="J24" s="24" t="str">
        <f>IF($A24="","",IFERROR(INDEX('4'!$A$4:$A$103,MATCH($A24,'4'!$C$4:$C$103,0)),""))</f>
        <v/>
      </c>
      <c r="K24" s="15">
        <f>IF($A24="",0,IFERROR(INDEX('4'!$I$4:$I$103,MATCH($A24,'4'!$C$4:$C$103,0)),0))</f>
        <v>0</v>
      </c>
      <c r="L24" s="24" t="str">
        <f>IF($A24="","",IFERROR(INDEX('5'!$A$4:$A$103,MATCH($A24,'5'!$C$4:$C$103,0)),""))</f>
        <v/>
      </c>
      <c r="M24" s="15">
        <f>IF($A24="",0,IFERROR(INDEX('5'!$I$4:$I$103,MATCH($A24,'5'!$C$4:$C$103,0)),0))</f>
        <v>0</v>
      </c>
      <c r="N24" s="25">
        <f t="shared" si="0"/>
        <v>1</v>
      </c>
      <c r="O24" s="26">
        <f t="shared" si="1"/>
        <v>19</v>
      </c>
      <c r="AA24" t="str">
        <f>IF(ISNUMBER(SEARCH("Junior",Barneveld!D27)),Barneveld!C27,"")</f>
        <v/>
      </c>
      <c r="AB24">
        <f>IF(AA24="",0,IF(COUNTIF($AA$1:AA24,AA24)=1,1,0))</f>
        <v>0</v>
      </c>
      <c r="AC24" t="str">
        <f>IF(AB24=1,COUNTIF($AB$1:AB24,1),"")</f>
        <v/>
      </c>
    </row>
    <row r="25" spans="1:29" x14ac:dyDescent="0.25">
      <c r="A25" s="13" t="str">
        <f>IFERROR(INDEX($AA$1:$AA$368,MATCH(22,$AC$1:$AC$368,0)),"")</f>
        <v/>
      </c>
      <c r="B25" s="13" t="str">
        <f>IF($A25="","",IF(IFERROR(INDEX(Barneveld!$E$4:$E$36,MATCH($A25,Barneveld!$C$4:$C$36,0)),"")&lt;&gt;"",IFERROR(INDEX(Barneveld!$E$4:$E$36,MATCH($A25,Barneveld!$C$4:$C$36,0)),""),IF(IFERROR(INDEX(Baarn!$F$4:$F$38,MATCH($A25,Baarn!$C$4:$C$38,0)),"")&lt;&gt;"",IFERROR(INDEX(Baarn!$F$4:$F$38,MATCH($A25,Baarn!$C$4:$C$38,0)),""),IF(IFERROR(INDEX(Scherpenzeel!$F$4:$F$103,MATCH($A25,Scherpenzeel!$C$4:$C$103,0)),"")&lt;&gt;"",IFERROR(INDEX(Scherpenzeel!$F$4:$F$103,MATCH($A25,Scherpenzeel!$C$4:$C$103,0)),""),IF(IFERROR(INDEX('4'!$F$4:$F$103,MATCH($A25,'4'!$C$4:$C$103,0)),"")&lt;&gt;"",IFERROR(INDEX('4'!$F$4:$F$103,MATCH($A25,'4'!$C$4:$C$103,0)),""),IFERROR(INDEX('5'!$F$4:$F$103,MATCH($A25,'5'!$C$4:$C$103,0)),""))))))</f>
        <v/>
      </c>
      <c r="C25" s="13" t="str">
        <f>IF($A25="","",IF(IFERROR(INDEX(Barneveld!$D$4:$D$36,MATCH($A25,Barneveld!$C$4:$C$36,0)),"")&lt;&gt;"",IFERROR(INDEX(Barneveld!$D$4:$D$36,MATCH($A25,Barneveld!$C$4:$C$36,0)),""),IF(IFERROR(INDEX(Baarn!$E$4:$E$38,MATCH($A25,Baarn!$C$4:$C$38,0)),"")&lt;&gt;"",IFERROR(INDEX(Baarn!$E$4:$E$38,MATCH($A25,Baarn!$C$4:$C$38,0)),""),IF(IFERROR(INDEX(Scherpenzeel!$E$4:$E$103,MATCH($A25,Scherpenzeel!$C$4:$C$103,0)),"")&lt;&gt;"",IFERROR(INDEX(Scherpenzeel!$E$4:$E$103,MATCH($A25,Scherpenzeel!$C$4:$C$103,0)),""),IF(IFERROR(INDEX('4'!$E$4:$E$103,MATCH($A25,'4'!$C$4:$C$103,0)),"")&lt;&gt;"",IFERROR(INDEX('4'!$E$4:$E$103,MATCH($A25,'4'!$C$4:$C$103,0)),""),IFERROR(INDEX('5'!$E$4:$E$103,MATCH($A25,'5'!$C$4:$C$103,0)),""))))))</f>
        <v/>
      </c>
      <c r="D25" s="24" t="str">
        <f>IF($A25="","",IFERROR(INDEX(Barneveld!$A$4:$A$36,MATCH($A25,Barneveld!$C$4:$C$36,0)),""))</f>
        <v/>
      </c>
      <c r="E25" s="15">
        <f>IF($A25="",0,IFERROR(INDEX(Barneveld!$H$4:$H$36,MATCH($A25,Barneveld!$C$4:$C$36,0)),0))</f>
        <v>0</v>
      </c>
      <c r="F25" s="24" t="str">
        <f>IF($A25="","",IFERROR(INDEX(Baarn!$A$4:$A$38,MATCH($A25,Baarn!$C$4:$C$38,0)),""))</f>
        <v/>
      </c>
      <c r="G25" s="15">
        <f>IF($A25="",0,IFERROR(INDEX(Baarn!$I$4:$I$38,MATCH($A25,Baarn!$C$4:$C$38,0)),0))</f>
        <v>0</v>
      </c>
      <c r="H25" s="24" t="str">
        <f>IF($A25="","",IFERROR(INDEX(Scherpenzeel!$A$4:$A$103,MATCH($A25,Scherpenzeel!$C$4:$C$103,0)),""))</f>
        <v/>
      </c>
      <c r="I25" s="15">
        <f>IF($A25="",0,IFERROR(INDEX(Scherpenzeel!$I$4:$I$103,MATCH($A25,Scherpenzeel!$C$4:$C$103,0)),0))</f>
        <v>0</v>
      </c>
      <c r="J25" s="24" t="str">
        <f>IF($A25="","",IFERROR(INDEX('4'!$A$4:$A$103,MATCH($A25,'4'!$C$4:$C$103,0)),""))</f>
        <v/>
      </c>
      <c r="K25" s="15">
        <f>IF($A25="",0,IFERROR(INDEX('4'!$I$4:$I$103,MATCH($A25,'4'!$C$4:$C$103,0)),0))</f>
        <v>0</v>
      </c>
      <c r="L25" s="24" t="str">
        <f>IF($A25="","",IFERROR(INDEX('5'!$A$4:$A$103,MATCH($A25,'5'!$C$4:$C$103,0)),""))</f>
        <v/>
      </c>
      <c r="M25" s="15">
        <f>IF($A25="",0,IFERROR(INDEX('5'!$I$4:$I$103,MATCH($A25,'5'!$C$4:$C$103,0)),0))</f>
        <v>0</v>
      </c>
      <c r="N25" s="25" t="str">
        <f t="shared" si="0"/>
        <v/>
      </c>
      <c r="O25" s="26" t="str">
        <f t="shared" si="1"/>
        <v/>
      </c>
      <c r="AA25" t="str">
        <f>IF(ISNUMBER(SEARCH("Junior",Barneveld!D28)),Barneveld!C28,"")</f>
        <v/>
      </c>
      <c r="AB25">
        <f>IF(AA25="",0,IF(COUNTIF($AA$1:AA25,AA25)=1,1,0))</f>
        <v>0</v>
      </c>
      <c r="AC25" t="str">
        <f>IF(AB25=1,COUNTIF($AB$1:AB25,1),"")</f>
        <v/>
      </c>
    </row>
    <row r="26" spans="1:29" x14ac:dyDescent="0.25">
      <c r="A26" s="13" t="str">
        <f>IFERROR(INDEX($AA$1:$AA$368,MATCH(23,$AC$1:$AC$368,0)),"")</f>
        <v/>
      </c>
      <c r="B26" s="13" t="str">
        <f>IF($A26="","",IF(IFERROR(INDEX(Barneveld!$E$4:$E$36,MATCH($A26,Barneveld!$C$4:$C$36,0)),"")&lt;&gt;"",IFERROR(INDEX(Barneveld!$E$4:$E$36,MATCH($A26,Barneveld!$C$4:$C$36,0)),""),IF(IFERROR(INDEX(Baarn!$F$4:$F$38,MATCH($A26,Baarn!$C$4:$C$38,0)),"")&lt;&gt;"",IFERROR(INDEX(Baarn!$F$4:$F$38,MATCH($A26,Baarn!$C$4:$C$38,0)),""),IF(IFERROR(INDEX(Scherpenzeel!$F$4:$F$103,MATCH($A26,Scherpenzeel!$C$4:$C$103,0)),"")&lt;&gt;"",IFERROR(INDEX(Scherpenzeel!$F$4:$F$103,MATCH($A26,Scherpenzeel!$C$4:$C$103,0)),""),IF(IFERROR(INDEX('4'!$F$4:$F$103,MATCH($A26,'4'!$C$4:$C$103,0)),"")&lt;&gt;"",IFERROR(INDEX('4'!$F$4:$F$103,MATCH($A26,'4'!$C$4:$C$103,0)),""),IFERROR(INDEX('5'!$F$4:$F$103,MATCH($A26,'5'!$C$4:$C$103,0)),""))))))</f>
        <v/>
      </c>
      <c r="C26" s="13" t="str">
        <f>IF($A26="","",IF(IFERROR(INDEX(Barneveld!$D$4:$D$36,MATCH($A26,Barneveld!$C$4:$C$36,0)),"")&lt;&gt;"",IFERROR(INDEX(Barneveld!$D$4:$D$36,MATCH($A26,Barneveld!$C$4:$C$36,0)),""),IF(IFERROR(INDEX(Baarn!$E$4:$E$38,MATCH($A26,Baarn!$C$4:$C$38,0)),"")&lt;&gt;"",IFERROR(INDEX(Baarn!$E$4:$E$38,MATCH($A26,Baarn!$C$4:$C$38,0)),""),IF(IFERROR(INDEX(Scherpenzeel!$E$4:$E$103,MATCH($A26,Scherpenzeel!$C$4:$C$103,0)),"")&lt;&gt;"",IFERROR(INDEX(Scherpenzeel!$E$4:$E$103,MATCH($A26,Scherpenzeel!$C$4:$C$103,0)),""),IF(IFERROR(INDEX('4'!$E$4:$E$103,MATCH($A26,'4'!$C$4:$C$103,0)),"")&lt;&gt;"",IFERROR(INDEX('4'!$E$4:$E$103,MATCH($A26,'4'!$C$4:$C$103,0)),""),IFERROR(INDEX('5'!$E$4:$E$103,MATCH($A26,'5'!$C$4:$C$103,0)),""))))))</f>
        <v/>
      </c>
      <c r="D26" s="24" t="str">
        <f>IF($A26="","",IFERROR(INDEX(Barneveld!$A$4:$A$36,MATCH($A26,Barneveld!$C$4:$C$36,0)),""))</f>
        <v/>
      </c>
      <c r="E26" s="15">
        <f>IF($A26="",0,IFERROR(INDEX(Barneveld!$H$4:$H$36,MATCH($A26,Barneveld!$C$4:$C$36,0)),0))</f>
        <v>0</v>
      </c>
      <c r="F26" s="24" t="str">
        <f>IF($A26="","",IFERROR(INDEX(Baarn!$A$4:$A$38,MATCH($A26,Baarn!$C$4:$C$38,0)),""))</f>
        <v/>
      </c>
      <c r="G26" s="15">
        <f>IF($A26="",0,IFERROR(INDEX(Baarn!$I$4:$I$38,MATCH($A26,Baarn!$C$4:$C$38,0)),0))</f>
        <v>0</v>
      </c>
      <c r="H26" s="24" t="str">
        <f>IF($A26="","",IFERROR(INDEX(Scherpenzeel!$A$4:$A$103,MATCH($A26,Scherpenzeel!$C$4:$C$103,0)),""))</f>
        <v/>
      </c>
      <c r="I26" s="15">
        <f>IF($A26="",0,IFERROR(INDEX(Scherpenzeel!$I$4:$I$103,MATCH($A26,Scherpenzeel!$C$4:$C$103,0)),0))</f>
        <v>0</v>
      </c>
      <c r="J26" s="24" t="str">
        <f>IF($A26="","",IFERROR(INDEX('4'!$A$4:$A$103,MATCH($A26,'4'!$C$4:$C$103,0)),""))</f>
        <v/>
      </c>
      <c r="K26" s="15">
        <f>IF($A26="",0,IFERROR(INDEX('4'!$I$4:$I$103,MATCH($A26,'4'!$C$4:$C$103,0)),0))</f>
        <v>0</v>
      </c>
      <c r="L26" s="24" t="str">
        <f>IF($A26="","",IFERROR(INDEX('5'!$A$4:$A$103,MATCH($A26,'5'!$C$4:$C$103,0)),""))</f>
        <v/>
      </c>
      <c r="M26" s="15">
        <f>IF($A26="",0,IFERROR(INDEX('5'!$I$4:$I$103,MATCH($A26,'5'!$C$4:$C$103,0)),0))</f>
        <v>0</v>
      </c>
      <c r="N26" s="25" t="str">
        <f t="shared" si="0"/>
        <v/>
      </c>
      <c r="O26" s="26" t="str">
        <f t="shared" si="1"/>
        <v/>
      </c>
      <c r="AA26" t="str">
        <f>IF(ISNUMBER(SEARCH("Junior",Barneveld!D29)),Barneveld!C29,"")</f>
        <v/>
      </c>
      <c r="AB26">
        <f>IF(AA26="",0,IF(COUNTIF($AA$1:AA26,AA26)=1,1,0))</f>
        <v>0</v>
      </c>
      <c r="AC26" t="str">
        <f>IF(AB26=1,COUNTIF($AB$1:AB26,1),"")</f>
        <v/>
      </c>
    </row>
    <row r="27" spans="1:29" x14ac:dyDescent="0.25">
      <c r="A27" s="13" t="str">
        <f>IFERROR(INDEX($AA$1:$AA$368,MATCH(24,$AC$1:$AC$368,0)),"")</f>
        <v/>
      </c>
      <c r="B27" s="13" t="str">
        <f>IF($A27="","",IF(IFERROR(INDEX(Barneveld!$E$4:$E$36,MATCH($A27,Barneveld!$C$4:$C$36,0)),"")&lt;&gt;"",IFERROR(INDEX(Barneveld!$E$4:$E$36,MATCH($A27,Barneveld!$C$4:$C$36,0)),""),IF(IFERROR(INDEX(Baarn!$F$4:$F$38,MATCH($A27,Baarn!$C$4:$C$38,0)),"")&lt;&gt;"",IFERROR(INDEX(Baarn!$F$4:$F$38,MATCH($A27,Baarn!$C$4:$C$38,0)),""),IF(IFERROR(INDEX(Scherpenzeel!$F$4:$F$103,MATCH($A27,Scherpenzeel!$C$4:$C$103,0)),"")&lt;&gt;"",IFERROR(INDEX(Scherpenzeel!$F$4:$F$103,MATCH($A27,Scherpenzeel!$C$4:$C$103,0)),""),IF(IFERROR(INDEX('4'!$F$4:$F$103,MATCH($A27,'4'!$C$4:$C$103,0)),"")&lt;&gt;"",IFERROR(INDEX('4'!$F$4:$F$103,MATCH($A27,'4'!$C$4:$C$103,0)),""),IFERROR(INDEX('5'!$F$4:$F$103,MATCH($A27,'5'!$C$4:$C$103,0)),""))))))</f>
        <v/>
      </c>
      <c r="C27" s="13" t="str">
        <f>IF($A27="","",IF(IFERROR(INDEX(Barneveld!$D$4:$D$36,MATCH($A27,Barneveld!$C$4:$C$36,0)),"")&lt;&gt;"",IFERROR(INDEX(Barneveld!$D$4:$D$36,MATCH($A27,Barneveld!$C$4:$C$36,0)),""),IF(IFERROR(INDEX(Baarn!$E$4:$E$38,MATCH($A27,Baarn!$C$4:$C$38,0)),"")&lt;&gt;"",IFERROR(INDEX(Baarn!$E$4:$E$38,MATCH($A27,Baarn!$C$4:$C$38,0)),""),IF(IFERROR(INDEX(Scherpenzeel!$E$4:$E$103,MATCH($A27,Scherpenzeel!$C$4:$C$103,0)),"")&lt;&gt;"",IFERROR(INDEX(Scherpenzeel!$E$4:$E$103,MATCH($A27,Scherpenzeel!$C$4:$C$103,0)),""),IF(IFERROR(INDEX('4'!$E$4:$E$103,MATCH($A27,'4'!$C$4:$C$103,0)),"")&lt;&gt;"",IFERROR(INDEX('4'!$E$4:$E$103,MATCH($A27,'4'!$C$4:$C$103,0)),""),IFERROR(INDEX('5'!$E$4:$E$103,MATCH($A27,'5'!$C$4:$C$103,0)),""))))))</f>
        <v/>
      </c>
      <c r="D27" s="24" t="str">
        <f>IF($A27="","",IFERROR(INDEX(Barneveld!$A$4:$A$36,MATCH($A27,Barneveld!$C$4:$C$36,0)),""))</f>
        <v/>
      </c>
      <c r="E27" s="15">
        <f>IF($A27="",0,IFERROR(INDEX(Barneveld!$H$4:$H$36,MATCH($A27,Barneveld!$C$4:$C$36,0)),0))</f>
        <v>0</v>
      </c>
      <c r="F27" s="24" t="str">
        <f>IF($A27="","",IFERROR(INDEX(Baarn!$A$4:$A$38,MATCH($A27,Baarn!$C$4:$C$38,0)),""))</f>
        <v/>
      </c>
      <c r="G27" s="15">
        <f>IF($A27="",0,IFERROR(INDEX(Baarn!$I$4:$I$38,MATCH($A27,Baarn!$C$4:$C$38,0)),0))</f>
        <v>0</v>
      </c>
      <c r="H27" s="24" t="str">
        <f>IF($A27="","",IFERROR(INDEX(Scherpenzeel!$A$4:$A$103,MATCH($A27,Scherpenzeel!$C$4:$C$103,0)),""))</f>
        <v/>
      </c>
      <c r="I27" s="15">
        <f>IF($A27="",0,IFERROR(INDEX(Scherpenzeel!$I$4:$I$103,MATCH($A27,Scherpenzeel!$C$4:$C$103,0)),0))</f>
        <v>0</v>
      </c>
      <c r="J27" s="24" t="str">
        <f>IF($A27="","",IFERROR(INDEX('4'!$A$4:$A$103,MATCH($A27,'4'!$C$4:$C$103,0)),""))</f>
        <v/>
      </c>
      <c r="K27" s="15">
        <f>IF($A27="",0,IFERROR(INDEX('4'!$I$4:$I$103,MATCH($A27,'4'!$C$4:$C$103,0)),0))</f>
        <v>0</v>
      </c>
      <c r="L27" s="24" t="str">
        <f>IF($A27="","",IFERROR(INDEX('5'!$A$4:$A$103,MATCH($A27,'5'!$C$4:$C$103,0)),""))</f>
        <v/>
      </c>
      <c r="M27" s="15">
        <f>IF($A27="",0,IFERROR(INDEX('5'!$I$4:$I$103,MATCH($A27,'5'!$C$4:$C$103,0)),0))</f>
        <v>0</v>
      </c>
      <c r="N27" s="25" t="str">
        <f t="shared" si="0"/>
        <v/>
      </c>
      <c r="O27" s="26" t="str">
        <f t="shared" si="1"/>
        <v/>
      </c>
      <c r="AA27" t="str">
        <f>IF(ISNUMBER(SEARCH("Junior",Barneveld!D30)),Barneveld!C30,"")</f>
        <v/>
      </c>
      <c r="AB27">
        <f>IF(AA27="",0,IF(COUNTIF($AA$1:AA27,AA27)=1,1,0))</f>
        <v>0</v>
      </c>
      <c r="AC27" t="str">
        <f>IF(AB27=1,COUNTIF($AB$1:AB27,1),"")</f>
        <v/>
      </c>
    </row>
    <row r="28" spans="1:29" x14ac:dyDescent="0.25">
      <c r="A28" s="13" t="str">
        <f>IFERROR(INDEX($AA$1:$AA$368,MATCH(25,$AC$1:$AC$368,0)),"")</f>
        <v/>
      </c>
      <c r="B28" s="13" t="str">
        <f>IF($A28="","",IF(IFERROR(INDEX(Barneveld!$E$4:$E$36,MATCH($A28,Barneveld!$C$4:$C$36,0)),"")&lt;&gt;"",IFERROR(INDEX(Barneveld!$E$4:$E$36,MATCH($A28,Barneveld!$C$4:$C$36,0)),""),IF(IFERROR(INDEX(Baarn!$F$4:$F$38,MATCH($A28,Baarn!$C$4:$C$38,0)),"")&lt;&gt;"",IFERROR(INDEX(Baarn!$F$4:$F$38,MATCH($A28,Baarn!$C$4:$C$38,0)),""),IF(IFERROR(INDEX(Scherpenzeel!$F$4:$F$103,MATCH($A28,Scherpenzeel!$C$4:$C$103,0)),"")&lt;&gt;"",IFERROR(INDEX(Scherpenzeel!$F$4:$F$103,MATCH($A28,Scherpenzeel!$C$4:$C$103,0)),""),IF(IFERROR(INDEX('4'!$F$4:$F$103,MATCH($A28,'4'!$C$4:$C$103,0)),"")&lt;&gt;"",IFERROR(INDEX('4'!$F$4:$F$103,MATCH($A28,'4'!$C$4:$C$103,0)),""),IFERROR(INDEX('5'!$F$4:$F$103,MATCH($A28,'5'!$C$4:$C$103,0)),""))))))</f>
        <v/>
      </c>
      <c r="C28" s="13" t="str">
        <f>IF($A28="","",IF(IFERROR(INDEX(Barneveld!$D$4:$D$36,MATCH($A28,Barneveld!$C$4:$C$36,0)),"")&lt;&gt;"",IFERROR(INDEX(Barneveld!$D$4:$D$36,MATCH($A28,Barneveld!$C$4:$C$36,0)),""),IF(IFERROR(INDEX(Baarn!$E$4:$E$38,MATCH($A28,Baarn!$C$4:$C$38,0)),"")&lt;&gt;"",IFERROR(INDEX(Baarn!$E$4:$E$38,MATCH($A28,Baarn!$C$4:$C$38,0)),""),IF(IFERROR(INDEX(Scherpenzeel!$E$4:$E$103,MATCH($A28,Scherpenzeel!$C$4:$C$103,0)),"")&lt;&gt;"",IFERROR(INDEX(Scherpenzeel!$E$4:$E$103,MATCH($A28,Scherpenzeel!$C$4:$C$103,0)),""),IF(IFERROR(INDEX('4'!$E$4:$E$103,MATCH($A28,'4'!$C$4:$C$103,0)),"")&lt;&gt;"",IFERROR(INDEX('4'!$E$4:$E$103,MATCH($A28,'4'!$C$4:$C$103,0)),""),IFERROR(INDEX('5'!$E$4:$E$103,MATCH($A28,'5'!$C$4:$C$103,0)),""))))))</f>
        <v/>
      </c>
      <c r="D28" s="24" t="str">
        <f>IF($A28="","",IFERROR(INDEX(Barneveld!$A$4:$A$36,MATCH($A28,Barneveld!$C$4:$C$36,0)),""))</f>
        <v/>
      </c>
      <c r="E28" s="15">
        <f>IF($A28="",0,IFERROR(INDEX(Barneveld!$H$4:$H$36,MATCH($A28,Barneveld!$C$4:$C$36,0)),0))</f>
        <v>0</v>
      </c>
      <c r="F28" s="24" t="str">
        <f>IF($A28="","",IFERROR(INDEX(Baarn!$A$4:$A$38,MATCH($A28,Baarn!$C$4:$C$38,0)),""))</f>
        <v/>
      </c>
      <c r="G28" s="15">
        <f>IF($A28="",0,IFERROR(INDEX(Baarn!$I$4:$I$38,MATCH($A28,Baarn!$C$4:$C$38,0)),0))</f>
        <v>0</v>
      </c>
      <c r="H28" s="24" t="str">
        <f>IF($A28="","",IFERROR(INDEX(Scherpenzeel!$A$4:$A$103,MATCH($A28,Scherpenzeel!$C$4:$C$103,0)),""))</f>
        <v/>
      </c>
      <c r="I28" s="15">
        <f>IF($A28="",0,IFERROR(INDEX(Scherpenzeel!$I$4:$I$103,MATCH($A28,Scherpenzeel!$C$4:$C$103,0)),0))</f>
        <v>0</v>
      </c>
      <c r="J28" s="24" t="str">
        <f>IF($A28="","",IFERROR(INDEX('4'!$A$4:$A$103,MATCH($A28,'4'!$C$4:$C$103,0)),""))</f>
        <v/>
      </c>
      <c r="K28" s="15">
        <f>IF($A28="",0,IFERROR(INDEX('4'!$I$4:$I$103,MATCH($A28,'4'!$C$4:$C$103,0)),0))</f>
        <v>0</v>
      </c>
      <c r="L28" s="24" t="str">
        <f>IF($A28="","",IFERROR(INDEX('5'!$A$4:$A$103,MATCH($A28,'5'!$C$4:$C$103,0)),""))</f>
        <v/>
      </c>
      <c r="M28" s="15">
        <f>IF($A28="",0,IFERROR(INDEX('5'!$I$4:$I$103,MATCH($A28,'5'!$C$4:$C$103,0)),0))</f>
        <v>0</v>
      </c>
      <c r="N28" s="25" t="str">
        <f t="shared" si="0"/>
        <v/>
      </c>
      <c r="O28" s="26" t="str">
        <f t="shared" si="1"/>
        <v/>
      </c>
      <c r="AA28" t="str">
        <f>IF(ISNUMBER(SEARCH("Junior",Barneveld!D31)),Barneveld!C31,"")</f>
        <v/>
      </c>
      <c r="AB28">
        <f>IF(AA28="",0,IF(COUNTIF($AA$1:AA28,AA28)=1,1,0))</f>
        <v>0</v>
      </c>
      <c r="AC28" t="str">
        <f>IF(AB28=1,COUNTIF($AB$1:AB28,1),"")</f>
        <v/>
      </c>
    </row>
    <row r="29" spans="1:29" x14ac:dyDescent="0.25">
      <c r="A29" s="13" t="str">
        <f>IFERROR(INDEX($AA$1:$AA$368,MATCH(26,$AC$1:$AC$368,0)),"")</f>
        <v/>
      </c>
      <c r="B29" s="13" t="str">
        <f>IF($A29="","",IF(IFERROR(INDEX(Barneveld!$E$4:$E$36,MATCH($A29,Barneveld!$C$4:$C$36,0)),"")&lt;&gt;"",IFERROR(INDEX(Barneveld!$E$4:$E$36,MATCH($A29,Barneveld!$C$4:$C$36,0)),""),IF(IFERROR(INDEX(Baarn!$F$4:$F$38,MATCH($A29,Baarn!$C$4:$C$38,0)),"")&lt;&gt;"",IFERROR(INDEX(Baarn!$F$4:$F$38,MATCH($A29,Baarn!$C$4:$C$38,0)),""),IF(IFERROR(INDEX(Scherpenzeel!$F$4:$F$103,MATCH($A29,Scherpenzeel!$C$4:$C$103,0)),"")&lt;&gt;"",IFERROR(INDEX(Scherpenzeel!$F$4:$F$103,MATCH($A29,Scherpenzeel!$C$4:$C$103,0)),""),IF(IFERROR(INDEX('4'!$F$4:$F$103,MATCH($A29,'4'!$C$4:$C$103,0)),"")&lt;&gt;"",IFERROR(INDEX('4'!$F$4:$F$103,MATCH($A29,'4'!$C$4:$C$103,0)),""),IFERROR(INDEX('5'!$F$4:$F$103,MATCH($A29,'5'!$C$4:$C$103,0)),""))))))</f>
        <v/>
      </c>
      <c r="C29" s="13" t="str">
        <f>IF($A29="","",IF(IFERROR(INDEX(Barneveld!$D$4:$D$36,MATCH($A29,Barneveld!$C$4:$C$36,0)),"")&lt;&gt;"",IFERROR(INDEX(Barneveld!$D$4:$D$36,MATCH($A29,Barneveld!$C$4:$C$36,0)),""),IF(IFERROR(INDEX(Baarn!$E$4:$E$38,MATCH($A29,Baarn!$C$4:$C$38,0)),"")&lt;&gt;"",IFERROR(INDEX(Baarn!$E$4:$E$38,MATCH($A29,Baarn!$C$4:$C$38,0)),""),IF(IFERROR(INDEX(Scherpenzeel!$E$4:$E$103,MATCH($A29,Scherpenzeel!$C$4:$C$103,0)),"")&lt;&gt;"",IFERROR(INDEX(Scherpenzeel!$E$4:$E$103,MATCH($A29,Scherpenzeel!$C$4:$C$103,0)),""),IF(IFERROR(INDEX('4'!$E$4:$E$103,MATCH($A29,'4'!$C$4:$C$103,0)),"")&lt;&gt;"",IFERROR(INDEX('4'!$E$4:$E$103,MATCH($A29,'4'!$C$4:$C$103,0)),""),IFERROR(INDEX('5'!$E$4:$E$103,MATCH($A29,'5'!$C$4:$C$103,0)),""))))))</f>
        <v/>
      </c>
      <c r="D29" s="24" t="str">
        <f>IF($A29="","",IFERROR(INDEX(Barneveld!$A$4:$A$36,MATCH($A29,Barneveld!$C$4:$C$36,0)),""))</f>
        <v/>
      </c>
      <c r="E29" s="15">
        <f>IF($A29="",0,IFERROR(INDEX(Barneveld!$H$4:$H$36,MATCH($A29,Barneveld!$C$4:$C$36,0)),0))</f>
        <v>0</v>
      </c>
      <c r="F29" s="24" t="str">
        <f>IF($A29="","",IFERROR(INDEX(Baarn!$A$4:$A$38,MATCH($A29,Baarn!$C$4:$C$38,0)),""))</f>
        <v/>
      </c>
      <c r="G29" s="15">
        <f>IF($A29="",0,IFERROR(INDEX(Baarn!$I$4:$I$38,MATCH($A29,Baarn!$C$4:$C$38,0)),0))</f>
        <v>0</v>
      </c>
      <c r="H29" s="24" t="str">
        <f>IF($A29="","",IFERROR(INDEX(Scherpenzeel!$A$4:$A$103,MATCH($A29,Scherpenzeel!$C$4:$C$103,0)),""))</f>
        <v/>
      </c>
      <c r="I29" s="15">
        <f>IF($A29="",0,IFERROR(INDEX(Scherpenzeel!$I$4:$I$103,MATCH($A29,Scherpenzeel!$C$4:$C$103,0)),0))</f>
        <v>0</v>
      </c>
      <c r="J29" s="24" t="str">
        <f>IF($A29="","",IFERROR(INDEX('4'!$A$4:$A$103,MATCH($A29,'4'!$C$4:$C$103,0)),""))</f>
        <v/>
      </c>
      <c r="K29" s="15">
        <f>IF($A29="",0,IFERROR(INDEX('4'!$I$4:$I$103,MATCH($A29,'4'!$C$4:$C$103,0)),0))</f>
        <v>0</v>
      </c>
      <c r="L29" s="24" t="str">
        <f>IF($A29="","",IFERROR(INDEX('5'!$A$4:$A$103,MATCH($A29,'5'!$C$4:$C$103,0)),""))</f>
        <v/>
      </c>
      <c r="M29" s="15">
        <f>IF($A29="",0,IFERROR(INDEX('5'!$I$4:$I$103,MATCH($A29,'5'!$C$4:$C$103,0)),0))</f>
        <v>0</v>
      </c>
      <c r="N29" s="25" t="str">
        <f t="shared" si="0"/>
        <v/>
      </c>
      <c r="O29" s="26" t="str">
        <f t="shared" si="1"/>
        <v/>
      </c>
      <c r="AA29" t="str">
        <f>IF(ISNUMBER(SEARCH("Junior",Barneveld!D32)),Barneveld!C32,"")</f>
        <v/>
      </c>
      <c r="AB29">
        <f>IF(AA29="",0,IF(COUNTIF($AA$1:AA29,AA29)=1,1,0))</f>
        <v>0</v>
      </c>
      <c r="AC29" t="str">
        <f>IF(AB29=1,COUNTIF($AB$1:AB29,1),"")</f>
        <v/>
      </c>
    </row>
    <row r="30" spans="1:29" x14ac:dyDescent="0.25">
      <c r="A30" s="13" t="str">
        <f>IFERROR(INDEX($AA$1:$AA$368,MATCH(27,$AC$1:$AC$368,0)),"")</f>
        <v/>
      </c>
      <c r="B30" s="13" t="str">
        <f>IF($A30="","",IF(IFERROR(INDEX(Barneveld!$E$4:$E$36,MATCH($A30,Barneveld!$C$4:$C$36,0)),"")&lt;&gt;"",IFERROR(INDEX(Barneveld!$E$4:$E$36,MATCH($A30,Barneveld!$C$4:$C$36,0)),""),IF(IFERROR(INDEX(Baarn!$F$4:$F$38,MATCH($A30,Baarn!$C$4:$C$38,0)),"")&lt;&gt;"",IFERROR(INDEX(Baarn!$F$4:$F$38,MATCH($A30,Baarn!$C$4:$C$38,0)),""),IF(IFERROR(INDEX(Scherpenzeel!$F$4:$F$103,MATCH($A30,Scherpenzeel!$C$4:$C$103,0)),"")&lt;&gt;"",IFERROR(INDEX(Scherpenzeel!$F$4:$F$103,MATCH($A30,Scherpenzeel!$C$4:$C$103,0)),""),IF(IFERROR(INDEX('4'!$F$4:$F$103,MATCH($A30,'4'!$C$4:$C$103,0)),"")&lt;&gt;"",IFERROR(INDEX('4'!$F$4:$F$103,MATCH($A30,'4'!$C$4:$C$103,0)),""),IFERROR(INDEX('5'!$F$4:$F$103,MATCH($A30,'5'!$C$4:$C$103,0)),""))))))</f>
        <v/>
      </c>
      <c r="C30" s="13" t="str">
        <f>IF($A30="","",IF(IFERROR(INDEX(Barneveld!$D$4:$D$36,MATCH($A30,Barneveld!$C$4:$C$36,0)),"")&lt;&gt;"",IFERROR(INDEX(Barneveld!$D$4:$D$36,MATCH($A30,Barneveld!$C$4:$C$36,0)),""),IF(IFERROR(INDEX(Baarn!$E$4:$E$38,MATCH($A30,Baarn!$C$4:$C$38,0)),"")&lt;&gt;"",IFERROR(INDEX(Baarn!$E$4:$E$38,MATCH($A30,Baarn!$C$4:$C$38,0)),""),IF(IFERROR(INDEX(Scherpenzeel!$E$4:$E$103,MATCH($A30,Scherpenzeel!$C$4:$C$103,0)),"")&lt;&gt;"",IFERROR(INDEX(Scherpenzeel!$E$4:$E$103,MATCH($A30,Scherpenzeel!$C$4:$C$103,0)),""),IF(IFERROR(INDEX('4'!$E$4:$E$103,MATCH($A30,'4'!$C$4:$C$103,0)),"")&lt;&gt;"",IFERROR(INDEX('4'!$E$4:$E$103,MATCH($A30,'4'!$C$4:$C$103,0)),""),IFERROR(INDEX('5'!$E$4:$E$103,MATCH($A30,'5'!$C$4:$C$103,0)),""))))))</f>
        <v/>
      </c>
      <c r="D30" s="24" t="str">
        <f>IF($A30="","",IFERROR(INDEX(Barneveld!$A$4:$A$36,MATCH($A30,Barneveld!$C$4:$C$36,0)),""))</f>
        <v/>
      </c>
      <c r="E30" s="15">
        <f>IF($A30="",0,IFERROR(INDEX(Barneveld!$H$4:$H$36,MATCH($A30,Barneveld!$C$4:$C$36,0)),0))</f>
        <v>0</v>
      </c>
      <c r="F30" s="24" t="str">
        <f>IF($A30="","",IFERROR(INDEX(Baarn!$A$4:$A$38,MATCH($A30,Baarn!$C$4:$C$38,0)),""))</f>
        <v/>
      </c>
      <c r="G30" s="15">
        <f>IF($A30="",0,IFERROR(INDEX(Baarn!$I$4:$I$38,MATCH($A30,Baarn!$C$4:$C$38,0)),0))</f>
        <v>0</v>
      </c>
      <c r="H30" s="24" t="str">
        <f>IF($A30="","",IFERROR(INDEX(Scherpenzeel!$A$4:$A$103,MATCH($A30,Scherpenzeel!$C$4:$C$103,0)),""))</f>
        <v/>
      </c>
      <c r="I30" s="15">
        <f>IF($A30="",0,IFERROR(INDEX(Scherpenzeel!$I$4:$I$103,MATCH($A30,Scherpenzeel!$C$4:$C$103,0)),0))</f>
        <v>0</v>
      </c>
      <c r="J30" s="24" t="str">
        <f>IF($A30="","",IFERROR(INDEX('4'!$A$4:$A$103,MATCH($A30,'4'!$C$4:$C$103,0)),""))</f>
        <v/>
      </c>
      <c r="K30" s="15">
        <f>IF($A30="",0,IFERROR(INDEX('4'!$I$4:$I$103,MATCH($A30,'4'!$C$4:$C$103,0)),0))</f>
        <v>0</v>
      </c>
      <c r="L30" s="24" t="str">
        <f>IF($A30="","",IFERROR(INDEX('5'!$A$4:$A$103,MATCH($A30,'5'!$C$4:$C$103,0)),""))</f>
        <v/>
      </c>
      <c r="M30" s="15">
        <f>IF($A30="",0,IFERROR(INDEX('5'!$I$4:$I$103,MATCH($A30,'5'!$C$4:$C$103,0)),0))</f>
        <v>0</v>
      </c>
      <c r="N30" s="25" t="str">
        <f t="shared" si="0"/>
        <v/>
      </c>
      <c r="O30" s="26" t="str">
        <f t="shared" si="1"/>
        <v/>
      </c>
      <c r="AA30" t="str">
        <f>IF(ISNUMBER(SEARCH("Junior",Barneveld!D33)),Barneveld!C33,"")</f>
        <v/>
      </c>
      <c r="AB30">
        <f>IF(AA30="",0,IF(COUNTIF($AA$1:AA30,AA30)=1,1,0))</f>
        <v>0</v>
      </c>
      <c r="AC30" t="str">
        <f>IF(AB30=1,COUNTIF($AB$1:AB30,1),"")</f>
        <v/>
      </c>
    </row>
    <row r="31" spans="1:29" x14ac:dyDescent="0.25">
      <c r="A31" s="13" t="str">
        <f>IFERROR(INDEX($AA$1:$AA$368,MATCH(28,$AC$1:$AC$368,0)),"")</f>
        <v/>
      </c>
      <c r="B31" s="13" t="str">
        <f>IF($A31="","",IF(IFERROR(INDEX(Barneveld!$E$4:$E$36,MATCH($A31,Barneveld!$C$4:$C$36,0)),"")&lt;&gt;"",IFERROR(INDEX(Barneveld!$E$4:$E$36,MATCH($A31,Barneveld!$C$4:$C$36,0)),""),IF(IFERROR(INDEX(Baarn!$F$4:$F$38,MATCH($A31,Baarn!$C$4:$C$38,0)),"")&lt;&gt;"",IFERROR(INDEX(Baarn!$F$4:$F$38,MATCH($A31,Baarn!$C$4:$C$38,0)),""),IF(IFERROR(INDEX(Scherpenzeel!$F$4:$F$103,MATCH($A31,Scherpenzeel!$C$4:$C$103,0)),"")&lt;&gt;"",IFERROR(INDEX(Scherpenzeel!$F$4:$F$103,MATCH($A31,Scherpenzeel!$C$4:$C$103,0)),""),IF(IFERROR(INDEX('4'!$F$4:$F$103,MATCH($A31,'4'!$C$4:$C$103,0)),"")&lt;&gt;"",IFERROR(INDEX('4'!$F$4:$F$103,MATCH($A31,'4'!$C$4:$C$103,0)),""),IFERROR(INDEX('5'!$F$4:$F$103,MATCH($A31,'5'!$C$4:$C$103,0)),""))))))</f>
        <v/>
      </c>
      <c r="C31" s="13" t="str">
        <f>IF($A31="","",IF(IFERROR(INDEX(Barneveld!$D$4:$D$36,MATCH($A31,Barneveld!$C$4:$C$36,0)),"")&lt;&gt;"",IFERROR(INDEX(Barneveld!$D$4:$D$36,MATCH($A31,Barneveld!$C$4:$C$36,0)),""),IF(IFERROR(INDEX(Baarn!$E$4:$E$38,MATCH($A31,Baarn!$C$4:$C$38,0)),"")&lt;&gt;"",IFERROR(INDEX(Baarn!$E$4:$E$38,MATCH($A31,Baarn!$C$4:$C$38,0)),""),IF(IFERROR(INDEX(Scherpenzeel!$E$4:$E$103,MATCH($A31,Scherpenzeel!$C$4:$C$103,0)),"")&lt;&gt;"",IFERROR(INDEX(Scherpenzeel!$E$4:$E$103,MATCH($A31,Scherpenzeel!$C$4:$C$103,0)),""),IF(IFERROR(INDEX('4'!$E$4:$E$103,MATCH($A31,'4'!$C$4:$C$103,0)),"")&lt;&gt;"",IFERROR(INDEX('4'!$E$4:$E$103,MATCH($A31,'4'!$C$4:$C$103,0)),""),IFERROR(INDEX('5'!$E$4:$E$103,MATCH($A31,'5'!$C$4:$C$103,0)),""))))))</f>
        <v/>
      </c>
      <c r="D31" s="24" t="str">
        <f>IF($A31="","",IFERROR(INDEX(Barneveld!$A$4:$A$36,MATCH($A31,Barneveld!$C$4:$C$36,0)),""))</f>
        <v/>
      </c>
      <c r="E31" s="15">
        <f>IF($A31="",0,IFERROR(INDEX(Barneveld!$H$4:$H$36,MATCH($A31,Barneveld!$C$4:$C$36,0)),0))</f>
        <v>0</v>
      </c>
      <c r="F31" s="24" t="str">
        <f>IF($A31="","",IFERROR(INDEX(Baarn!$A$4:$A$38,MATCH($A31,Baarn!$C$4:$C$38,0)),""))</f>
        <v/>
      </c>
      <c r="G31" s="15">
        <f>IF($A31="",0,IFERROR(INDEX(Baarn!$I$4:$I$38,MATCH($A31,Baarn!$C$4:$C$38,0)),0))</f>
        <v>0</v>
      </c>
      <c r="H31" s="24" t="str">
        <f>IF($A31="","",IFERROR(INDEX(Scherpenzeel!$A$4:$A$103,MATCH($A31,Scherpenzeel!$C$4:$C$103,0)),""))</f>
        <v/>
      </c>
      <c r="I31" s="15">
        <f>IF($A31="",0,IFERROR(INDEX(Scherpenzeel!$I$4:$I$103,MATCH($A31,Scherpenzeel!$C$4:$C$103,0)),0))</f>
        <v>0</v>
      </c>
      <c r="J31" s="24" t="str">
        <f>IF($A31="","",IFERROR(INDEX('4'!$A$4:$A$103,MATCH($A31,'4'!$C$4:$C$103,0)),""))</f>
        <v/>
      </c>
      <c r="K31" s="15">
        <f>IF($A31="",0,IFERROR(INDEX('4'!$I$4:$I$103,MATCH($A31,'4'!$C$4:$C$103,0)),0))</f>
        <v>0</v>
      </c>
      <c r="L31" s="24" t="str">
        <f>IF($A31="","",IFERROR(INDEX('5'!$A$4:$A$103,MATCH($A31,'5'!$C$4:$C$103,0)),""))</f>
        <v/>
      </c>
      <c r="M31" s="15">
        <f>IF($A31="",0,IFERROR(INDEX('5'!$I$4:$I$103,MATCH($A31,'5'!$C$4:$C$103,0)),0))</f>
        <v>0</v>
      </c>
      <c r="N31" s="25" t="str">
        <f t="shared" si="0"/>
        <v/>
      </c>
      <c r="O31" s="26" t="str">
        <f t="shared" si="1"/>
        <v/>
      </c>
      <c r="AA31" t="str">
        <f>IF(ISNUMBER(SEARCH("Junior",Barneveld!D34)),Barneveld!C34,"")</f>
        <v>Deon Bergwerff</v>
      </c>
      <c r="AB31">
        <f>IF(AA31="",0,IF(COUNTIF($AA$1:AA31,AA31)=1,1,0))</f>
        <v>1</v>
      </c>
      <c r="AC31">
        <f>IF(AB31=1,COUNTIF($AB$1:AB31,1),"")</f>
        <v>3</v>
      </c>
    </row>
    <row r="32" spans="1:29" x14ac:dyDescent="0.25">
      <c r="A32" s="13" t="str">
        <f>IFERROR(INDEX($AA$1:$AA$368,MATCH(29,$AC$1:$AC$368,0)),"")</f>
        <v/>
      </c>
      <c r="B32" s="13" t="str">
        <f>IF($A32="","",IF(IFERROR(INDEX(Barneveld!$E$4:$E$36,MATCH($A32,Barneveld!$C$4:$C$36,0)),"")&lt;&gt;"",IFERROR(INDEX(Barneveld!$E$4:$E$36,MATCH($A32,Barneveld!$C$4:$C$36,0)),""),IF(IFERROR(INDEX(Baarn!$F$4:$F$38,MATCH($A32,Baarn!$C$4:$C$38,0)),"")&lt;&gt;"",IFERROR(INDEX(Baarn!$F$4:$F$38,MATCH($A32,Baarn!$C$4:$C$38,0)),""),IF(IFERROR(INDEX(Scherpenzeel!$F$4:$F$103,MATCH($A32,Scherpenzeel!$C$4:$C$103,0)),"")&lt;&gt;"",IFERROR(INDEX(Scherpenzeel!$F$4:$F$103,MATCH($A32,Scherpenzeel!$C$4:$C$103,0)),""),IF(IFERROR(INDEX('4'!$F$4:$F$103,MATCH($A32,'4'!$C$4:$C$103,0)),"")&lt;&gt;"",IFERROR(INDEX('4'!$F$4:$F$103,MATCH($A32,'4'!$C$4:$C$103,0)),""),IFERROR(INDEX('5'!$F$4:$F$103,MATCH($A32,'5'!$C$4:$C$103,0)),""))))))</f>
        <v/>
      </c>
      <c r="C32" s="13" t="str">
        <f>IF($A32="","",IF(IFERROR(INDEX(Barneveld!$D$4:$D$36,MATCH($A32,Barneveld!$C$4:$C$36,0)),"")&lt;&gt;"",IFERROR(INDEX(Barneveld!$D$4:$D$36,MATCH($A32,Barneveld!$C$4:$C$36,0)),""),IF(IFERROR(INDEX(Baarn!$E$4:$E$38,MATCH($A32,Baarn!$C$4:$C$38,0)),"")&lt;&gt;"",IFERROR(INDEX(Baarn!$E$4:$E$38,MATCH($A32,Baarn!$C$4:$C$38,0)),""),IF(IFERROR(INDEX(Scherpenzeel!$E$4:$E$103,MATCH($A32,Scherpenzeel!$C$4:$C$103,0)),"")&lt;&gt;"",IFERROR(INDEX(Scherpenzeel!$E$4:$E$103,MATCH($A32,Scherpenzeel!$C$4:$C$103,0)),""),IF(IFERROR(INDEX('4'!$E$4:$E$103,MATCH($A32,'4'!$C$4:$C$103,0)),"")&lt;&gt;"",IFERROR(INDEX('4'!$E$4:$E$103,MATCH($A32,'4'!$C$4:$C$103,0)),""),IFERROR(INDEX('5'!$E$4:$E$103,MATCH($A32,'5'!$C$4:$C$103,0)),""))))))</f>
        <v/>
      </c>
      <c r="D32" s="24" t="str">
        <f>IF($A32="","",IFERROR(INDEX(Barneveld!$A$4:$A$36,MATCH($A32,Barneveld!$C$4:$C$36,0)),""))</f>
        <v/>
      </c>
      <c r="E32" s="15">
        <f>IF($A32="",0,IFERROR(INDEX(Barneveld!$H$4:$H$36,MATCH($A32,Barneveld!$C$4:$C$36,0)),0))</f>
        <v>0</v>
      </c>
      <c r="F32" s="24" t="str">
        <f>IF($A32="","",IFERROR(INDEX(Baarn!$A$4:$A$38,MATCH($A32,Baarn!$C$4:$C$38,0)),""))</f>
        <v/>
      </c>
      <c r="G32" s="15">
        <f>IF($A32="",0,IFERROR(INDEX(Baarn!$I$4:$I$38,MATCH($A32,Baarn!$C$4:$C$38,0)),0))</f>
        <v>0</v>
      </c>
      <c r="H32" s="24" t="str">
        <f>IF($A32="","",IFERROR(INDEX(Scherpenzeel!$A$4:$A$103,MATCH($A32,Scherpenzeel!$C$4:$C$103,0)),""))</f>
        <v/>
      </c>
      <c r="I32" s="15">
        <f>IF($A32="",0,IFERROR(INDEX(Scherpenzeel!$I$4:$I$103,MATCH($A32,Scherpenzeel!$C$4:$C$103,0)),0))</f>
        <v>0</v>
      </c>
      <c r="J32" s="24" t="str">
        <f>IF($A32="","",IFERROR(INDEX('4'!$A$4:$A$103,MATCH($A32,'4'!$C$4:$C$103,0)),""))</f>
        <v/>
      </c>
      <c r="K32" s="15">
        <f>IF($A32="",0,IFERROR(INDEX('4'!$I$4:$I$103,MATCH($A32,'4'!$C$4:$C$103,0)),0))</f>
        <v>0</v>
      </c>
      <c r="L32" s="24" t="str">
        <f>IF($A32="","",IFERROR(INDEX('5'!$A$4:$A$103,MATCH($A32,'5'!$C$4:$C$103,0)),""))</f>
        <v/>
      </c>
      <c r="M32" s="15">
        <f>IF($A32="",0,IFERROR(INDEX('5'!$I$4:$I$103,MATCH($A32,'5'!$C$4:$C$103,0)),0))</f>
        <v>0</v>
      </c>
      <c r="N32" s="25" t="str">
        <f t="shared" si="0"/>
        <v/>
      </c>
      <c r="O32" s="26" t="str">
        <f t="shared" si="1"/>
        <v/>
      </c>
      <c r="AA32" t="str">
        <f>IF(ISNUMBER(SEARCH("Junior",Barneveld!D35)),Barneveld!C35,"")</f>
        <v/>
      </c>
      <c r="AB32">
        <f>IF(AA32="",0,IF(COUNTIF($AA$1:AA32,AA32)=1,1,0))</f>
        <v>0</v>
      </c>
      <c r="AC32" t="str">
        <f>IF(AB32=1,COUNTIF($AB$1:AB32,1),"")</f>
        <v/>
      </c>
    </row>
    <row r="33" spans="1:29" x14ac:dyDescent="0.25">
      <c r="A33" s="13" t="str">
        <f>IFERROR(INDEX($AA$1:$AA$368,MATCH(30,$AC$1:$AC$368,0)),"")</f>
        <v/>
      </c>
      <c r="B33" s="13" t="str">
        <f>IF($A33="","",IF(IFERROR(INDEX(Barneveld!$E$4:$E$36,MATCH($A33,Barneveld!$C$4:$C$36,0)),"")&lt;&gt;"",IFERROR(INDEX(Barneveld!$E$4:$E$36,MATCH($A33,Barneveld!$C$4:$C$36,0)),""),IF(IFERROR(INDEX(Baarn!$F$4:$F$38,MATCH($A33,Baarn!$C$4:$C$38,0)),"")&lt;&gt;"",IFERROR(INDEX(Baarn!$F$4:$F$38,MATCH($A33,Baarn!$C$4:$C$38,0)),""),IF(IFERROR(INDEX(Scherpenzeel!$F$4:$F$103,MATCH($A33,Scherpenzeel!$C$4:$C$103,0)),"")&lt;&gt;"",IFERROR(INDEX(Scherpenzeel!$F$4:$F$103,MATCH($A33,Scherpenzeel!$C$4:$C$103,0)),""),IF(IFERROR(INDEX('4'!$F$4:$F$103,MATCH($A33,'4'!$C$4:$C$103,0)),"")&lt;&gt;"",IFERROR(INDEX('4'!$F$4:$F$103,MATCH($A33,'4'!$C$4:$C$103,0)),""),IFERROR(INDEX('5'!$F$4:$F$103,MATCH($A33,'5'!$C$4:$C$103,0)),""))))))</f>
        <v/>
      </c>
      <c r="C33" s="13" t="str">
        <f>IF($A33="","",IF(IFERROR(INDEX(Barneveld!$D$4:$D$36,MATCH($A33,Barneveld!$C$4:$C$36,0)),"")&lt;&gt;"",IFERROR(INDEX(Barneveld!$D$4:$D$36,MATCH($A33,Barneveld!$C$4:$C$36,0)),""),IF(IFERROR(INDEX(Baarn!$E$4:$E$38,MATCH($A33,Baarn!$C$4:$C$38,0)),"")&lt;&gt;"",IFERROR(INDEX(Baarn!$E$4:$E$38,MATCH($A33,Baarn!$C$4:$C$38,0)),""),IF(IFERROR(INDEX(Scherpenzeel!$E$4:$E$103,MATCH($A33,Scherpenzeel!$C$4:$C$103,0)),"")&lt;&gt;"",IFERROR(INDEX(Scherpenzeel!$E$4:$E$103,MATCH($A33,Scherpenzeel!$C$4:$C$103,0)),""),IF(IFERROR(INDEX('4'!$E$4:$E$103,MATCH($A33,'4'!$C$4:$C$103,0)),"")&lt;&gt;"",IFERROR(INDEX('4'!$E$4:$E$103,MATCH($A33,'4'!$C$4:$C$103,0)),""),IFERROR(INDEX('5'!$E$4:$E$103,MATCH($A33,'5'!$C$4:$C$103,0)),""))))))</f>
        <v/>
      </c>
      <c r="D33" s="24" t="str">
        <f>IF($A33="","",IFERROR(INDEX(Barneveld!$A$4:$A$36,MATCH($A33,Barneveld!$C$4:$C$36,0)),""))</f>
        <v/>
      </c>
      <c r="E33" s="15">
        <f>IF($A33="",0,IFERROR(INDEX(Barneveld!$H$4:$H$36,MATCH($A33,Barneveld!$C$4:$C$36,0)),0))</f>
        <v>0</v>
      </c>
      <c r="F33" s="24" t="str">
        <f>IF($A33="","",IFERROR(INDEX(Baarn!$A$4:$A$38,MATCH($A33,Baarn!$C$4:$C$38,0)),""))</f>
        <v/>
      </c>
      <c r="G33" s="15">
        <f>IF($A33="",0,IFERROR(INDEX(Baarn!$I$4:$I$38,MATCH($A33,Baarn!$C$4:$C$38,0)),0))</f>
        <v>0</v>
      </c>
      <c r="H33" s="24" t="str">
        <f>IF($A33="","",IFERROR(INDEX(Scherpenzeel!$A$4:$A$103,MATCH($A33,Scherpenzeel!$C$4:$C$103,0)),""))</f>
        <v/>
      </c>
      <c r="I33" s="15">
        <f>IF($A33="",0,IFERROR(INDEX(Scherpenzeel!$I$4:$I$103,MATCH($A33,Scherpenzeel!$C$4:$C$103,0)),0))</f>
        <v>0</v>
      </c>
      <c r="J33" s="24" t="str">
        <f>IF($A33="","",IFERROR(INDEX('4'!$A$4:$A$103,MATCH($A33,'4'!$C$4:$C$103,0)),""))</f>
        <v/>
      </c>
      <c r="K33" s="15">
        <f>IF($A33="",0,IFERROR(INDEX('4'!$I$4:$I$103,MATCH($A33,'4'!$C$4:$C$103,0)),0))</f>
        <v>0</v>
      </c>
      <c r="L33" s="24" t="str">
        <f>IF($A33="","",IFERROR(INDEX('5'!$A$4:$A$103,MATCH($A33,'5'!$C$4:$C$103,0)),""))</f>
        <v/>
      </c>
      <c r="M33" s="15">
        <f>IF($A33="",0,IFERROR(INDEX('5'!$I$4:$I$103,MATCH($A33,'5'!$C$4:$C$103,0)),0))</f>
        <v>0</v>
      </c>
      <c r="N33" s="25" t="str">
        <f t="shared" si="0"/>
        <v/>
      </c>
      <c r="O33" s="26" t="str">
        <f t="shared" si="1"/>
        <v/>
      </c>
      <c r="AA33" t="str">
        <f>IF(ISNUMBER(SEARCH("Junior",Barneveld!D36)),Barneveld!C36,"")</f>
        <v/>
      </c>
      <c r="AB33">
        <f>IF(AA33="",0,IF(COUNTIF($AA$1:AA33,AA33)=1,1,0))</f>
        <v>0</v>
      </c>
      <c r="AC33" t="str">
        <f>IF(AB33=1,COUNTIF($AB$1:AB33,1),"")</f>
        <v/>
      </c>
    </row>
    <row r="34" spans="1:29" x14ac:dyDescent="0.25">
      <c r="A34" s="13" t="str">
        <f>IFERROR(INDEX($AA$1:$AA$368,MATCH(31,$AC$1:$AC$368,0)),"")</f>
        <v/>
      </c>
      <c r="B34" s="13" t="str">
        <f>IF($A34="","",IF(IFERROR(INDEX(Barneveld!$E$4:$E$36,MATCH($A34,Barneveld!$C$4:$C$36,0)),"")&lt;&gt;"",IFERROR(INDEX(Barneveld!$E$4:$E$36,MATCH($A34,Barneveld!$C$4:$C$36,0)),""),IF(IFERROR(INDEX(Baarn!$F$4:$F$38,MATCH($A34,Baarn!$C$4:$C$38,0)),"")&lt;&gt;"",IFERROR(INDEX(Baarn!$F$4:$F$38,MATCH($A34,Baarn!$C$4:$C$38,0)),""),IF(IFERROR(INDEX(Scherpenzeel!$F$4:$F$103,MATCH($A34,Scherpenzeel!$C$4:$C$103,0)),"")&lt;&gt;"",IFERROR(INDEX(Scherpenzeel!$F$4:$F$103,MATCH($A34,Scherpenzeel!$C$4:$C$103,0)),""),IF(IFERROR(INDEX('4'!$F$4:$F$103,MATCH($A34,'4'!$C$4:$C$103,0)),"")&lt;&gt;"",IFERROR(INDEX('4'!$F$4:$F$103,MATCH($A34,'4'!$C$4:$C$103,0)),""),IFERROR(INDEX('5'!$F$4:$F$103,MATCH($A34,'5'!$C$4:$C$103,0)),""))))))</f>
        <v/>
      </c>
      <c r="C34" s="13" t="str">
        <f>IF($A34="","",IF(IFERROR(INDEX(Barneveld!$D$4:$D$36,MATCH($A34,Barneveld!$C$4:$C$36,0)),"")&lt;&gt;"",IFERROR(INDEX(Barneveld!$D$4:$D$36,MATCH($A34,Barneveld!$C$4:$C$36,0)),""),IF(IFERROR(INDEX(Baarn!$E$4:$E$38,MATCH($A34,Baarn!$C$4:$C$38,0)),"")&lt;&gt;"",IFERROR(INDEX(Baarn!$E$4:$E$38,MATCH($A34,Baarn!$C$4:$C$38,0)),""),IF(IFERROR(INDEX(Scherpenzeel!$E$4:$E$103,MATCH($A34,Scherpenzeel!$C$4:$C$103,0)),"")&lt;&gt;"",IFERROR(INDEX(Scherpenzeel!$E$4:$E$103,MATCH($A34,Scherpenzeel!$C$4:$C$103,0)),""),IF(IFERROR(INDEX('4'!$E$4:$E$103,MATCH($A34,'4'!$C$4:$C$103,0)),"")&lt;&gt;"",IFERROR(INDEX('4'!$E$4:$E$103,MATCH($A34,'4'!$C$4:$C$103,0)),""),IFERROR(INDEX('5'!$E$4:$E$103,MATCH($A34,'5'!$C$4:$C$103,0)),""))))))</f>
        <v/>
      </c>
      <c r="D34" s="24" t="str">
        <f>IF($A34="","",IFERROR(INDEX(Barneveld!$A$4:$A$36,MATCH($A34,Barneveld!$C$4:$C$36,0)),""))</f>
        <v/>
      </c>
      <c r="E34" s="15">
        <f>IF($A34="",0,IFERROR(INDEX(Barneveld!$H$4:$H$36,MATCH($A34,Barneveld!$C$4:$C$36,0)),0))</f>
        <v>0</v>
      </c>
      <c r="F34" s="24" t="str">
        <f>IF($A34="","",IFERROR(INDEX(Baarn!$A$4:$A$38,MATCH($A34,Baarn!$C$4:$C$38,0)),""))</f>
        <v/>
      </c>
      <c r="G34" s="15">
        <f>IF($A34="",0,IFERROR(INDEX(Baarn!$I$4:$I$38,MATCH($A34,Baarn!$C$4:$C$38,0)),0))</f>
        <v>0</v>
      </c>
      <c r="H34" s="24" t="str">
        <f>IF($A34="","",IFERROR(INDEX(Scherpenzeel!$A$4:$A$103,MATCH($A34,Scherpenzeel!$C$4:$C$103,0)),""))</f>
        <v/>
      </c>
      <c r="I34" s="15">
        <f>IF($A34="",0,IFERROR(INDEX(Scherpenzeel!$I$4:$I$103,MATCH($A34,Scherpenzeel!$C$4:$C$103,0)),0))</f>
        <v>0</v>
      </c>
      <c r="J34" s="24" t="str">
        <f>IF($A34="","",IFERROR(INDEX('4'!$A$4:$A$103,MATCH($A34,'4'!$C$4:$C$103,0)),""))</f>
        <v/>
      </c>
      <c r="K34" s="15">
        <f>IF($A34="",0,IFERROR(INDEX('4'!$I$4:$I$103,MATCH($A34,'4'!$C$4:$C$103,0)),0))</f>
        <v>0</v>
      </c>
      <c r="L34" s="24" t="str">
        <f>IF($A34="","",IFERROR(INDEX('5'!$A$4:$A$103,MATCH($A34,'5'!$C$4:$C$103,0)),""))</f>
        <v/>
      </c>
      <c r="M34" s="15">
        <f>IF($A34="",0,IFERROR(INDEX('5'!$I$4:$I$103,MATCH($A34,'5'!$C$4:$C$103,0)),0))</f>
        <v>0</v>
      </c>
      <c r="N34" s="25" t="str">
        <f t="shared" si="0"/>
        <v/>
      </c>
      <c r="O34" s="26" t="str">
        <f t="shared" si="1"/>
        <v/>
      </c>
      <c r="AA34" t="str">
        <f>IF(ISNUMBER(SEARCH("Junior",Baarn!E4)),Baarn!C4,"")</f>
        <v>Florijn van der Vliet</v>
      </c>
      <c r="AB34">
        <f>IF(AA34="",0,IF(COUNTIF($AA$1:AA34,AA34)=1,1,0))</f>
        <v>1</v>
      </c>
      <c r="AC34">
        <f>IF(AB34=1,COUNTIF($AB$1:AB34,1),"")</f>
        <v>4</v>
      </c>
    </row>
    <row r="35" spans="1:29" x14ac:dyDescent="0.25">
      <c r="A35" s="13" t="str">
        <f>IFERROR(INDEX($AA$1:$AA$368,MATCH(32,$AC$1:$AC$368,0)),"")</f>
        <v/>
      </c>
      <c r="B35" s="13" t="str">
        <f>IF($A35="","",IF(IFERROR(INDEX(Barneveld!$E$4:$E$36,MATCH($A35,Barneveld!$C$4:$C$36,0)),"")&lt;&gt;"",IFERROR(INDEX(Barneveld!$E$4:$E$36,MATCH($A35,Barneveld!$C$4:$C$36,0)),""),IF(IFERROR(INDEX(Baarn!$F$4:$F$38,MATCH($A35,Baarn!$C$4:$C$38,0)),"")&lt;&gt;"",IFERROR(INDEX(Baarn!$F$4:$F$38,MATCH($A35,Baarn!$C$4:$C$38,0)),""),IF(IFERROR(INDEX(Scherpenzeel!$F$4:$F$103,MATCH($A35,Scherpenzeel!$C$4:$C$103,0)),"")&lt;&gt;"",IFERROR(INDEX(Scherpenzeel!$F$4:$F$103,MATCH($A35,Scherpenzeel!$C$4:$C$103,0)),""),IF(IFERROR(INDEX('4'!$F$4:$F$103,MATCH($A35,'4'!$C$4:$C$103,0)),"")&lt;&gt;"",IFERROR(INDEX('4'!$F$4:$F$103,MATCH($A35,'4'!$C$4:$C$103,0)),""),IFERROR(INDEX('5'!$F$4:$F$103,MATCH($A35,'5'!$C$4:$C$103,0)),""))))))</f>
        <v/>
      </c>
      <c r="C35" s="13" t="str">
        <f>IF($A35="","",IF(IFERROR(INDEX(Barneveld!$D$4:$D$36,MATCH($A35,Barneveld!$C$4:$C$36,0)),"")&lt;&gt;"",IFERROR(INDEX(Barneveld!$D$4:$D$36,MATCH($A35,Barneveld!$C$4:$C$36,0)),""),IF(IFERROR(INDEX(Baarn!$E$4:$E$38,MATCH($A35,Baarn!$C$4:$C$38,0)),"")&lt;&gt;"",IFERROR(INDEX(Baarn!$E$4:$E$38,MATCH($A35,Baarn!$C$4:$C$38,0)),""),IF(IFERROR(INDEX(Scherpenzeel!$E$4:$E$103,MATCH($A35,Scherpenzeel!$C$4:$C$103,0)),"")&lt;&gt;"",IFERROR(INDEX(Scherpenzeel!$E$4:$E$103,MATCH($A35,Scherpenzeel!$C$4:$C$103,0)),""),IF(IFERROR(INDEX('4'!$E$4:$E$103,MATCH($A35,'4'!$C$4:$C$103,0)),"")&lt;&gt;"",IFERROR(INDEX('4'!$E$4:$E$103,MATCH($A35,'4'!$C$4:$C$103,0)),""),IFERROR(INDEX('5'!$E$4:$E$103,MATCH($A35,'5'!$C$4:$C$103,0)),""))))))</f>
        <v/>
      </c>
      <c r="D35" s="24" t="str">
        <f>IF($A35="","",IFERROR(INDEX(Barneveld!$A$4:$A$36,MATCH($A35,Barneveld!$C$4:$C$36,0)),""))</f>
        <v/>
      </c>
      <c r="E35" s="15">
        <f>IF($A35="",0,IFERROR(INDEX(Barneveld!$H$4:$H$36,MATCH($A35,Barneveld!$C$4:$C$36,0)),0))</f>
        <v>0</v>
      </c>
      <c r="F35" s="24" t="str">
        <f>IF($A35="","",IFERROR(INDEX(Baarn!$A$4:$A$38,MATCH($A35,Baarn!$C$4:$C$38,0)),""))</f>
        <v/>
      </c>
      <c r="G35" s="15">
        <f>IF($A35="",0,IFERROR(INDEX(Baarn!$I$4:$I$38,MATCH($A35,Baarn!$C$4:$C$38,0)),0))</f>
        <v>0</v>
      </c>
      <c r="H35" s="24" t="str">
        <f>IF($A35="","",IFERROR(INDEX(Scherpenzeel!$A$4:$A$103,MATCH($A35,Scherpenzeel!$C$4:$C$103,0)),""))</f>
        <v/>
      </c>
      <c r="I35" s="15">
        <f>IF($A35="",0,IFERROR(INDEX(Scherpenzeel!$I$4:$I$103,MATCH($A35,Scherpenzeel!$C$4:$C$103,0)),0))</f>
        <v>0</v>
      </c>
      <c r="J35" s="24" t="str">
        <f>IF($A35="","",IFERROR(INDEX('4'!$A$4:$A$103,MATCH($A35,'4'!$C$4:$C$103,0)),""))</f>
        <v/>
      </c>
      <c r="K35" s="15">
        <f>IF($A35="",0,IFERROR(INDEX('4'!$I$4:$I$103,MATCH($A35,'4'!$C$4:$C$103,0)),0))</f>
        <v>0</v>
      </c>
      <c r="L35" s="24" t="str">
        <f>IF($A35="","",IFERROR(INDEX('5'!$A$4:$A$103,MATCH($A35,'5'!$C$4:$C$103,0)),""))</f>
        <v/>
      </c>
      <c r="M35" s="15">
        <f>IF($A35="",0,IFERROR(INDEX('5'!$I$4:$I$103,MATCH($A35,'5'!$C$4:$C$103,0)),0))</f>
        <v>0</v>
      </c>
      <c r="N35" s="25" t="str">
        <f t="shared" si="0"/>
        <v/>
      </c>
      <c r="O35" s="26" t="str">
        <f t="shared" si="1"/>
        <v/>
      </c>
      <c r="AA35" t="str">
        <f>IF(ISNUMBER(SEARCH("Junior",Baarn!E5)),Baarn!C5,"")</f>
        <v>Niek Bos</v>
      </c>
      <c r="AB35">
        <f>IF(AA35="",0,IF(COUNTIF($AA$1:AA35,AA35)=1,1,0))</f>
        <v>1</v>
      </c>
      <c r="AC35">
        <f>IF(AB35=1,COUNTIF($AB$1:AB35,1),"")</f>
        <v>5</v>
      </c>
    </row>
    <row r="36" spans="1:29" x14ac:dyDescent="0.25">
      <c r="A36" s="13" t="str">
        <f>IFERROR(INDEX($AA$1:$AA$368,MATCH(33,$AC$1:$AC$368,0)),"")</f>
        <v/>
      </c>
      <c r="B36" s="13" t="str">
        <f>IF($A36="","",IF(IFERROR(INDEX(Barneveld!$E$4:$E$36,MATCH($A36,Barneveld!$C$4:$C$36,0)),"")&lt;&gt;"",IFERROR(INDEX(Barneveld!$E$4:$E$36,MATCH($A36,Barneveld!$C$4:$C$36,0)),""),IF(IFERROR(INDEX(Baarn!$F$4:$F$38,MATCH($A36,Baarn!$C$4:$C$38,0)),"")&lt;&gt;"",IFERROR(INDEX(Baarn!$F$4:$F$38,MATCH($A36,Baarn!$C$4:$C$38,0)),""),IF(IFERROR(INDEX(Scherpenzeel!$F$4:$F$103,MATCH($A36,Scherpenzeel!$C$4:$C$103,0)),"")&lt;&gt;"",IFERROR(INDEX(Scherpenzeel!$F$4:$F$103,MATCH($A36,Scherpenzeel!$C$4:$C$103,0)),""),IF(IFERROR(INDEX('4'!$F$4:$F$103,MATCH($A36,'4'!$C$4:$C$103,0)),"")&lt;&gt;"",IFERROR(INDEX('4'!$F$4:$F$103,MATCH($A36,'4'!$C$4:$C$103,0)),""),IFERROR(INDEX('5'!$F$4:$F$103,MATCH($A36,'5'!$C$4:$C$103,0)),""))))))</f>
        <v/>
      </c>
      <c r="C36" s="13" t="str">
        <f>IF($A36="","",IF(IFERROR(INDEX(Barneveld!$D$4:$D$36,MATCH($A36,Barneveld!$C$4:$C$36,0)),"")&lt;&gt;"",IFERROR(INDEX(Barneveld!$D$4:$D$36,MATCH($A36,Barneveld!$C$4:$C$36,0)),""),IF(IFERROR(INDEX(Baarn!$E$4:$E$38,MATCH($A36,Baarn!$C$4:$C$38,0)),"")&lt;&gt;"",IFERROR(INDEX(Baarn!$E$4:$E$38,MATCH($A36,Baarn!$C$4:$C$38,0)),""),IF(IFERROR(INDEX(Scherpenzeel!$E$4:$E$103,MATCH($A36,Scherpenzeel!$C$4:$C$103,0)),"")&lt;&gt;"",IFERROR(INDEX(Scherpenzeel!$E$4:$E$103,MATCH($A36,Scherpenzeel!$C$4:$C$103,0)),""),IF(IFERROR(INDEX('4'!$E$4:$E$103,MATCH($A36,'4'!$C$4:$C$103,0)),"")&lt;&gt;"",IFERROR(INDEX('4'!$E$4:$E$103,MATCH($A36,'4'!$C$4:$C$103,0)),""),IFERROR(INDEX('5'!$E$4:$E$103,MATCH($A36,'5'!$C$4:$C$103,0)),""))))))</f>
        <v/>
      </c>
      <c r="D36" s="24" t="str">
        <f>IF($A36="","",IFERROR(INDEX(Barneveld!$A$4:$A$36,MATCH($A36,Barneveld!$C$4:$C$36,0)),""))</f>
        <v/>
      </c>
      <c r="E36" s="15">
        <f>IF($A36="",0,IFERROR(INDEX(Barneveld!$H$4:$H$36,MATCH($A36,Barneveld!$C$4:$C$36,0)),0))</f>
        <v>0</v>
      </c>
      <c r="F36" s="24" t="str">
        <f>IF($A36="","",IFERROR(INDEX(Baarn!$A$4:$A$38,MATCH($A36,Baarn!$C$4:$C$38,0)),""))</f>
        <v/>
      </c>
      <c r="G36" s="15">
        <f>IF($A36="",0,IFERROR(INDEX(Baarn!$I$4:$I$38,MATCH($A36,Baarn!$C$4:$C$38,0)),0))</f>
        <v>0</v>
      </c>
      <c r="H36" s="24" t="str">
        <f>IF($A36="","",IFERROR(INDEX(Scherpenzeel!$A$4:$A$103,MATCH($A36,Scherpenzeel!$C$4:$C$103,0)),""))</f>
        <v/>
      </c>
      <c r="I36" s="15">
        <f>IF($A36="",0,IFERROR(INDEX(Scherpenzeel!$I$4:$I$103,MATCH($A36,Scherpenzeel!$C$4:$C$103,0)),0))</f>
        <v>0</v>
      </c>
      <c r="J36" s="24" t="str">
        <f>IF($A36="","",IFERROR(INDEX('4'!$A$4:$A$103,MATCH($A36,'4'!$C$4:$C$103,0)),""))</f>
        <v/>
      </c>
      <c r="K36" s="15">
        <f>IF($A36="",0,IFERROR(INDEX('4'!$I$4:$I$103,MATCH($A36,'4'!$C$4:$C$103,0)),0))</f>
        <v>0</v>
      </c>
      <c r="L36" s="24" t="str">
        <f>IF($A36="","",IFERROR(INDEX('5'!$A$4:$A$103,MATCH($A36,'5'!$C$4:$C$103,0)),""))</f>
        <v/>
      </c>
      <c r="M36" s="15">
        <f>IF($A36="",0,IFERROR(INDEX('5'!$I$4:$I$103,MATCH($A36,'5'!$C$4:$C$103,0)),0))</f>
        <v>0</v>
      </c>
      <c r="N36" s="25" t="str">
        <f t="shared" ref="N36:N67" si="2">IF($A36="","",E36+G36+I36+K36+M36)</f>
        <v/>
      </c>
      <c r="O36" s="26" t="str">
        <f t="shared" ref="O36:O67" si="3">IF(OR($A36="",N36="",N36=0),"",RANK(N36,$N$4:$N$203,0))</f>
        <v/>
      </c>
      <c r="AA36" t="str">
        <f>IF(ISNUMBER(SEARCH("Junior",Baarn!E6)),Baarn!C6,"")</f>
        <v/>
      </c>
      <c r="AB36">
        <f>IF(AA36="",0,IF(COUNTIF($AA$1:AA36,AA36)=1,1,0))</f>
        <v>0</v>
      </c>
      <c r="AC36" t="str">
        <f>IF(AB36=1,COUNTIF($AB$1:AB36,1),"")</f>
        <v/>
      </c>
    </row>
    <row r="37" spans="1:29" x14ac:dyDescent="0.25">
      <c r="A37" s="13" t="str">
        <f>IFERROR(INDEX($AA$1:$AA$368,MATCH(34,$AC$1:$AC$368,0)),"")</f>
        <v/>
      </c>
      <c r="B37" s="13" t="str">
        <f>IF($A37="","",IF(IFERROR(INDEX(Barneveld!$E$4:$E$36,MATCH($A37,Barneveld!$C$4:$C$36,0)),"")&lt;&gt;"",IFERROR(INDEX(Barneveld!$E$4:$E$36,MATCH($A37,Barneveld!$C$4:$C$36,0)),""),IF(IFERROR(INDEX(Baarn!$F$4:$F$38,MATCH($A37,Baarn!$C$4:$C$38,0)),"")&lt;&gt;"",IFERROR(INDEX(Baarn!$F$4:$F$38,MATCH($A37,Baarn!$C$4:$C$38,0)),""),IF(IFERROR(INDEX(Scherpenzeel!$F$4:$F$103,MATCH($A37,Scherpenzeel!$C$4:$C$103,0)),"")&lt;&gt;"",IFERROR(INDEX(Scherpenzeel!$F$4:$F$103,MATCH($A37,Scherpenzeel!$C$4:$C$103,0)),""),IF(IFERROR(INDEX('4'!$F$4:$F$103,MATCH($A37,'4'!$C$4:$C$103,0)),"")&lt;&gt;"",IFERROR(INDEX('4'!$F$4:$F$103,MATCH($A37,'4'!$C$4:$C$103,0)),""),IFERROR(INDEX('5'!$F$4:$F$103,MATCH($A37,'5'!$C$4:$C$103,0)),""))))))</f>
        <v/>
      </c>
      <c r="C37" s="13" t="str">
        <f>IF($A37="","",IF(IFERROR(INDEX(Barneveld!$D$4:$D$36,MATCH($A37,Barneveld!$C$4:$C$36,0)),"")&lt;&gt;"",IFERROR(INDEX(Barneveld!$D$4:$D$36,MATCH($A37,Barneveld!$C$4:$C$36,0)),""),IF(IFERROR(INDEX(Baarn!$E$4:$E$38,MATCH($A37,Baarn!$C$4:$C$38,0)),"")&lt;&gt;"",IFERROR(INDEX(Baarn!$E$4:$E$38,MATCH($A37,Baarn!$C$4:$C$38,0)),""),IF(IFERROR(INDEX(Scherpenzeel!$E$4:$E$103,MATCH($A37,Scherpenzeel!$C$4:$C$103,0)),"")&lt;&gt;"",IFERROR(INDEX(Scherpenzeel!$E$4:$E$103,MATCH($A37,Scherpenzeel!$C$4:$C$103,0)),""),IF(IFERROR(INDEX('4'!$E$4:$E$103,MATCH($A37,'4'!$C$4:$C$103,0)),"")&lt;&gt;"",IFERROR(INDEX('4'!$E$4:$E$103,MATCH($A37,'4'!$C$4:$C$103,0)),""),IFERROR(INDEX('5'!$E$4:$E$103,MATCH($A37,'5'!$C$4:$C$103,0)),""))))))</f>
        <v/>
      </c>
      <c r="D37" s="24" t="str">
        <f>IF($A37="","",IFERROR(INDEX(Barneveld!$A$4:$A$36,MATCH($A37,Barneveld!$C$4:$C$36,0)),""))</f>
        <v/>
      </c>
      <c r="E37" s="15">
        <f>IF($A37="",0,IFERROR(INDEX(Barneveld!$H$4:$H$36,MATCH($A37,Barneveld!$C$4:$C$36,0)),0))</f>
        <v>0</v>
      </c>
      <c r="F37" s="24" t="str">
        <f>IF($A37="","",IFERROR(INDEX(Baarn!$A$4:$A$38,MATCH($A37,Baarn!$C$4:$C$38,0)),""))</f>
        <v/>
      </c>
      <c r="G37" s="15">
        <f>IF($A37="",0,IFERROR(INDEX(Baarn!$I$4:$I$38,MATCH($A37,Baarn!$C$4:$C$38,0)),0))</f>
        <v>0</v>
      </c>
      <c r="H37" s="24" t="str">
        <f>IF($A37="","",IFERROR(INDEX(Scherpenzeel!$A$4:$A$103,MATCH($A37,Scherpenzeel!$C$4:$C$103,0)),""))</f>
        <v/>
      </c>
      <c r="I37" s="15">
        <f>IF($A37="",0,IFERROR(INDEX(Scherpenzeel!$I$4:$I$103,MATCH($A37,Scherpenzeel!$C$4:$C$103,0)),0))</f>
        <v>0</v>
      </c>
      <c r="J37" s="24" t="str">
        <f>IF($A37="","",IFERROR(INDEX('4'!$A$4:$A$103,MATCH($A37,'4'!$C$4:$C$103,0)),""))</f>
        <v/>
      </c>
      <c r="K37" s="15">
        <f>IF($A37="",0,IFERROR(INDEX('4'!$I$4:$I$103,MATCH($A37,'4'!$C$4:$C$103,0)),0))</f>
        <v>0</v>
      </c>
      <c r="L37" s="24" t="str">
        <f>IF($A37="","",IFERROR(INDEX('5'!$A$4:$A$103,MATCH($A37,'5'!$C$4:$C$103,0)),""))</f>
        <v/>
      </c>
      <c r="M37" s="15">
        <f>IF($A37="",0,IFERROR(INDEX('5'!$I$4:$I$103,MATCH($A37,'5'!$C$4:$C$103,0)),0))</f>
        <v>0</v>
      </c>
      <c r="N37" s="25" t="str">
        <f t="shared" si="2"/>
        <v/>
      </c>
      <c r="O37" s="26" t="str">
        <f t="shared" si="3"/>
        <v/>
      </c>
      <c r="AA37" t="str">
        <f>IF(ISNUMBER(SEARCH("Junior",Baarn!E7)),Baarn!C7,"")</f>
        <v/>
      </c>
      <c r="AB37">
        <f>IF(AA37="",0,IF(COUNTIF($AA$1:AA37,AA37)=1,1,0))</f>
        <v>0</v>
      </c>
      <c r="AC37" t="str">
        <f>IF(AB37=1,COUNTIF($AB$1:AB37,1),"")</f>
        <v/>
      </c>
    </row>
    <row r="38" spans="1:29" x14ac:dyDescent="0.25">
      <c r="A38" s="13" t="str">
        <f>IFERROR(INDEX($AA$1:$AA$368,MATCH(35,$AC$1:$AC$368,0)),"")</f>
        <v/>
      </c>
      <c r="B38" s="13" t="str">
        <f>IF($A38="","",IF(IFERROR(INDEX(Barneveld!$E$4:$E$36,MATCH($A38,Barneveld!$C$4:$C$36,0)),"")&lt;&gt;"",IFERROR(INDEX(Barneveld!$E$4:$E$36,MATCH($A38,Barneveld!$C$4:$C$36,0)),""),IF(IFERROR(INDEX(Baarn!$F$4:$F$38,MATCH($A38,Baarn!$C$4:$C$38,0)),"")&lt;&gt;"",IFERROR(INDEX(Baarn!$F$4:$F$38,MATCH($A38,Baarn!$C$4:$C$38,0)),""),IF(IFERROR(INDEX(Scherpenzeel!$F$4:$F$103,MATCH($A38,Scherpenzeel!$C$4:$C$103,0)),"")&lt;&gt;"",IFERROR(INDEX(Scherpenzeel!$F$4:$F$103,MATCH($A38,Scherpenzeel!$C$4:$C$103,0)),""),IF(IFERROR(INDEX('4'!$F$4:$F$103,MATCH($A38,'4'!$C$4:$C$103,0)),"")&lt;&gt;"",IFERROR(INDEX('4'!$F$4:$F$103,MATCH($A38,'4'!$C$4:$C$103,0)),""),IFERROR(INDEX('5'!$F$4:$F$103,MATCH($A38,'5'!$C$4:$C$103,0)),""))))))</f>
        <v/>
      </c>
      <c r="C38" s="13" t="str">
        <f>IF($A38="","",IF(IFERROR(INDEX(Barneveld!$D$4:$D$36,MATCH($A38,Barneveld!$C$4:$C$36,0)),"")&lt;&gt;"",IFERROR(INDEX(Barneveld!$D$4:$D$36,MATCH($A38,Barneveld!$C$4:$C$36,0)),""),IF(IFERROR(INDEX(Baarn!$E$4:$E$38,MATCH($A38,Baarn!$C$4:$C$38,0)),"")&lt;&gt;"",IFERROR(INDEX(Baarn!$E$4:$E$38,MATCH($A38,Baarn!$C$4:$C$38,0)),""),IF(IFERROR(INDEX(Scherpenzeel!$E$4:$E$103,MATCH($A38,Scherpenzeel!$C$4:$C$103,0)),"")&lt;&gt;"",IFERROR(INDEX(Scherpenzeel!$E$4:$E$103,MATCH($A38,Scherpenzeel!$C$4:$C$103,0)),""),IF(IFERROR(INDEX('4'!$E$4:$E$103,MATCH($A38,'4'!$C$4:$C$103,0)),"")&lt;&gt;"",IFERROR(INDEX('4'!$E$4:$E$103,MATCH($A38,'4'!$C$4:$C$103,0)),""),IFERROR(INDEX('5'!$E$4:$E$103,MATCH($A38,'5'!$C$4:$C$103,0)),""))))))</f>
        <v/>
      </c>
      <c r="D38" s="24" t="str">
        <f>IF($A38="","",IFERROR(INDEX(Barneveld!$A$4:$A$36,MATCH($A38,Barneveld!$C$4:$C$36,0)),""))</f>
        <v/>
      </c>
      <c r="E38" s="15">
        <f>IF($A38="",0,IFERROR(INDEX(Barneveld!$H$4:$H$36,MATCH($A38,Barneveld!$C$4:$C$36,0)),0))</f>
        <v>0</v>
      </c>
      <c r="F38" s="24" t="str">
        <f>IF($A38="","",IFERROR(INDEX(Baarn!$A$4:$A$38,MATCH($A38,Baarn!$C$4:$C$38,0)),""))</f>
        <v/>
      </c>
      <c r="G38" s="15">
        <f>IF($A38="",0,IFERROR(INDEX(Baarn!$I$4:$I$38,MATCH($A38,Baarn!$C$4:$C$38,0)),0))</f>
        <v>0</v>
      </c>
      <c r="H38" s="24" t="str">
        <f>IF($A38="","",IFERROR(INDEX(Scherpenzeel!$A$4:$A$103,MATCH($A38,Scherpenzeel!$C$4:$C$103,0)),""))</f>
        <v/>
      </c>
      <c r="I38" s="15">
        <f>IF($A38="",0,IFERROR(INDEX(Scherpenzeel!$I$4:$I$103,MATCH($A38,Scherpenzeel!$C$4:$C$103,0)),0))</f>
        <v>0</v>
      </c>
      <c r="J38" s="24" t="str">
        <f>IF($A38="","",IFERROR(INDEX('4'!$A$4:$A$103,MATCH($A38,'4'!$C$4:$C$103,0)),""))</f>
        <v/>
      </c>
      <c r="K38" s="15">
        <f>IF($A38="",0,IFERROR(INDEX('4'!$I$4:$I$103,MATCH($A38,'4'!$C$4:$C$103,0)),0))</f>
        <v>0</v>
      </c>
      <c r="L38" s="24" t="str">
        <f>IF($A38="","",IFERROR(INDEX('5'!$A$4:$A$103,MATCH($A38,'5'!$C$4:$C$103,0)),""))</f>
        <v/>
      </c>
      <c r="M38" s="15">
        <f>IF($A38="",0,IFERROR(INDEX('5'!$I$4:$I$103,MATCH($A38,'5'!$C$4:$C$103,0)),0))</f>
        <v>0</v>
      </c>
      <c r="N38" s="25" t="str">
        <f t="shared" si="2"/>
        <v/>
      </c>
      <c r="O38" s="26" t="str">
        <f t="shared" si="3"/>
        <v/>
      </c>
      <c r="AA38" t="str">
        <f>IF(ISNUMBER(SEARCH("Junior",Baarn!E8)),Baarn!C8,"")</f>
        <v/>
      </c>
      <c r="AB38">
        <f>IF(AA38="",0,IF(COUNTIF($AA$1:AA38,AA38)=1,1,0))</f>
        <v>0</v>
      </c>
      <c r="AC38" t="str">
        <f>IF(AB38=1,COUNTIF($AB$1:AB38,1),"")</f>
        <v/>
      </c>
    </row>
    <row r="39" spans="1:29" x14ac:dyDescent="0.25">
      <c r="A39" s="13" t="str">
        <f>IFERROR(INDEX($AA$1:$AA$368,MATCH(36,$AC$1:$AC$368,0)),"")</f>
        <v/>
      </c>
      <c r="B39" s="13" t="str">
        <f>IF($A39="","",IF(IFERROR(INDEX(Barneveld!$E$4:$E$36,MATCH($A39,Barneveld!$C$4:$C$36,0)),"")&lt;&gt;"",IFERROR(INDEX(Barneveld!$E$4:$E$36,MATCH($A39,Barneveld!$C$4:$C$36,0)),""),IF(IFERROR(INDEX(Baarn!$F$4:$F$38,MATCH($A39,Baarn!$C$4:$C$38,0)),"")&lt;&gt;"",IFERROR(INDEX(Baarn!$F$4:$F$38,MATCH($A39,Baarn!$C$4:$C$38,0)),""),IF(IFERROR(INDEX(Scherpenzeel!$F$4:$F$103,MATCH($A39,Scherpenzeel!$C$4:$C$103,0)),"")&lt;&gt;"",IFERROR(INDEX(Scherpenzeel!$F$4:$F$103,MATCH($A39,Scherpenzeel!$C$4:$C$103,0)),""),IF(IFERROR(INDEX('4'!$F$4:$F$103,MATCH($A39,'4'!$C$4:$C$103,0)),"")&lt;&gt;"",IFERROR(INDEX('4'!$F$4:$F$103,MATCH($A39,'4'!$C$4:$C$103,0)),""),IFERROR(INDEX('5'!$F$4:$F$103,MATCH($A39,'5'!$C$4:$C$103,0)),""))))))</f>
        <v/>
      </c>
      <c r="C39" s="13" t="str">
        <f>IF($A39="","",IF(IFERROR(INDEX(Barneveld!$D$4:$D$36,MATCH($A39,Barneveld!$C$4:$C$36,0)),"")&lt;&gt;"",IFERROR(INDEX(Barneveld!$D$4:$D$36,MATCH($A39,Barneveld!$C$4:$C$36,0)),""),IF(IFERROR(INDEX(Baarn!$E$4:$E$38,MATCH($A39,Baarn!$C$4:$C$38,0)),"")&lt;&gt;"",IFERROR(INDEX(Baarn!$E$4:$E$38,MATCH($A39,Baarn!$C$4:$C$38,0)),""),IF(IFERROR(INDEX(Scherpenzeel!$E$4:$E$103,MATCH($A39,Scherpenzeel!$C$4:$C$103,0)),"")&lt;&gt;"",IFERROR(INDEX(Scherpenzeel!$E$4:$E$103,MATCH($A39,Scherpenzeel!$C$4:$C$103,0)),""),IF(IFERROR(INDEX('4'!$E$4:$E$103,MATCH($A39,'4'!$C$4:$C$103,0)),"")&lt;&gt;"",IFERROR(INDEX('4'!$E$4:$E$103,MATCH($A39,'4'!$C$4:$C$103,0)),""),IFERROR(INDEX('5'!$E$4:$E$103,MATCH($A39,'5'!$C$4:$C$103,0)),""))))))</f>
        <v/>
      </c>
      <c r="D39" s="24" t="str">
        <f>IF($A39="","",IFERROR(INDEX(Barneveld!$A$4:$A$36,MATCH($A39,Barneveld!$C$4:$C$36,0)),""))</f>
        <v/>
      </c>
      <c r="E39" s="15">
        <f>IF($A39="",0,IFERROR(INDEX(Barneveld!$H$4:$H$36,MATCH($A39,Barneveld!$C$4:$C$36,0)),0))</f>
        <v>0</v>
      </c>
      <c r="F39" s="24" t="str">
        <f>IF($A39="","",IFERROR(INDEX(Baarn!$A$4:$A$38,MATCH($A39,Baarn!$C$4:$C$38,0)),""))</f>
        <v/>
      </c>
      <c r="G39" s="15">
        <f>IF($A39="",0,IFERROR(INDEX(Baarn!$I$4:$I$38,MATCH($A39,Baarn!$C$4:$C$38,0)),0))</f>
        <v>0</v>
      </c>
      <c r="H39" s="24" t="str">
        <f>IF($A39="","",IFERROR(INDEX(Scherpenzeel!$A$4:$A$103,MATCH($A39,Scherpenzeel!$C$4:$C$103,0)),""))</f>
        <v/>
      </c>
      <c r="I39" s="15">
        <f>IF($A39="",0,IFERROR(INDEX(Scherpenzeel!$I$4:$I$103,MATCH($A39,Scherpenzeel!$C$4:$C$103,0)),0))</f>
        <v>0</v>
      </c>
      <c r="J39" s="24" t="str">
        <f>IF($A39="","",IFERROR(INDEX('4'!$A$4:$A$103,MATCH($A39,'4'!$C$4:$C$103,0)),""))</f>
        <v/>
      </c>
      <c r="K39" s="15">
        <f>IF($A39="",0,IFERROR(INDEX('4'!$I$4:$I$103,MATCH($A39,'4'!$C$4:$C$103,0)),0))</f>
        <v>0</v>
      </c>
      <c r="L39" s="24" t="str">
        <f>IF($A39="","",IFERROR(INDEX('5'!$A$4:$A$103,MATCH($A39,'5'!$C$4:$C$103,0)),""))</f>
        <v/>
      </c>
      <c r="M39" s="15">
        <f>IF($A39="",0,IFERROR(INDEX('5'!$I$4:$I$103,MATCH($A39,'5'!$C$4:$C$103,0)),0))</f>
        <v>0</v>
      </c>
      <c r="N39" s="25" t="str">
        <f t="shared" si="2"/>
        <v/>
      </c>
      <c r="O39" s="26" t="str">
        <f t="shared" si="3"/>
        <v/>
      </c>
      <c r="AA39" t="str">
        <f>IF(ISNUMBER(SEARCH("Junior",Baarn!E9)),Baarn!C9,"")</f>
        <v/>
      </c>
      <c r="AB39">
        <f>IF(AA39="",0,IF(COUNTIF($AA$1:AA39,AA39)=1,1,0))</f>
        <v>0</v>
      </c>
      <c r="AC39" t="str">
        <f>IF(AB39=1,COUNTIF($AB$1:AB39,1),"")</f>
        <v/>
      </c>
    </row>
    <row r="40" spans="1:29" x14ac:dyDescent="0.25">
      <c r="A40" s="13" t="str">
        <f>IFERROR(INDEX($AA$1:$AA$368,MATCH(37,$AC$1:$AC$368,0)),"")</f>
        <v/>
      </c>
      <c r="B40" s="13" t="str">
        <f>IF($A40="","",IF(IFERROR(INDEX(Barneveld!$E$4:$E$36,MATCH($A40,Barneveld!$C$4:$C$36,0)),"")&lt;&gt;"",IFERROR(INDEX(Barneveld!$E$4:$E$36,MATCH($A40,Barneveld!$C$4:$C$36,0)),""),IF(IFERROR(INDEX(Baarn!$F$4:$F$38,MATCH($A40,Baarn!$C$4:$C$38,0)),"")&lt;&gt;"",IFERROR(INDEX(Baarn!$F$4:$F$38,MATCH($A40,Baarn!$C$4:$C$38,0)),""),IF(IFERROR(INDEX(Scherpenzeel!$F$4:$F$103,MATCH($A40,Scherpenzeel!$C$4:$C$103,0)),"")&lt;&gt;"",IFERROR(INDEX(Scherpenzeel!$F$4:$F$103,MATCH($A40,Scherpenzeel!$C$4:$C$103,0)),""),IF(IFERROR(INDEX('4'!$F$4:$F$103,MATCH($A40,'4'!$C$4:$C$103,0)),"")&lt;&gt;"",IFERROR(INDEX('4'!$F$4:$F$103,MATCH($A40,'4'!$C$4:$C$103,0)),""),IFERROR(INDEX('5'!$F$4:$F$103,MATCH($A40,'5'!$C$4:$C$103,0)),""))))))</f>
        <v/>
      </c>
      <c r="C40" s="13" t="str">
        <f>IF($A40="","",IF(IFERROR(INDEX(Barneveld!$D$4:$D$36,MATCH($A40,Barneveld!$C$4:$C$36,0)),"")&lt;&gt;"",IFERROR(INDEX(Barneveld!$D$4:$D$36,MATCH($A40,Barneveld!$C$4:$C$36,0)),""),IF(IFERROR(INDEX(Baarn!$E$4:$E$38,MATCH($A40,Baarn!$C$4:$C$38,0)),"")&lt;&gt;"",IFERROR(INDEX(Baarn!$E$4:$E$38,MATCH($A40,Baarn!$C$4:$C$38,0)),""),IF(IFERROR(INDEX(Scherpenzeel!$E$4:$E$103,MATCH($A40,Scherpenzeel!$C$4:$C$103,0)),"")&lt;&gt;"",IFERROR(INDEX(Scherpenzeel!$E$4:$E$103,MATCH($A40,Scherpenzeel!$C$4:$C$103,0)),""),IF(IFERROR(INDEX('4'!$E$4:$E$103,MATCH($A40,'4'!$C$4:$C$103,0)),"")&lt;&gt;"",IFERROR(INDEX('4'!$E$4:$E$103,MATCH($A40,'4'!$C$4:$C$103,0)),""),IFERROR(INDEX('5'!$E$4:$E$103,MATCH($A40,'5'!$C$4:$C$103,0)),""))))))</f>
        <v/>
      </c>
      <c r="D40" s="24" t="str">
        <f>IF($A40="","",IFERROR(INDEX(Barneveld!$A$4:$A$36,MATCH($A40,Barneveld!$C$4:$C$36,0)),""))</f>
        <v/>
      </c>
      <c r="E40" s="15">
        <f>IF($A40="",0,IFERROR(INDEX(Barneveld!$H$4:$H$36,MATCH($A40,Barneveld!$C$4:$C$36,0)),0))</f>
        <v>0</v>
      </c>
      <c r="F40" s="24" t="str">
        <f>IF($A40="","",IFERROR(INDEX(Baarn!$A$4:$A$38,MATCH($A40,Baarn!$C$4:$C$38,0)),""))</f>
        <v/>
      </c>
      <c r="G40" s="15">
        <f>IF($A40="",0,IFERROR(INDEX(Baarn!$I$4:$I$38,MATCH($A40,Baarn!$C$4:$C$38,0)),0))</f>
        <v>0</v>
      </c>
      <c r="H40" s="24" t="str">
        <f>IF($A40="","",IFERROR(INDEX(Scherpenzeel!$A$4:$A$103,MATCH($A40,Scherpenzeel!$C$4:$C$103,0)),""))</f>
        <v/>
      </c>
      <c r="I40" s="15">
        <f>IF($A40="",0,IFERROR(INDEX(Scherpenzeel!$I$4:$I$103,MATCH($A40,Scherpenzeel!$C$4:$C$103,0)),0))</f>
        <v>0</v>
      </c>
      <c r="J40" s="24" t="str">
        <f>IF($A40="","",IFERROR(INDEX('4'!$A$4:$A$103,MATCH($A40,'4'!$C$4:$C$103,0)),""))</f>
        <v/>
      </c>
      <c r="K40" s="15">
        <f>IF($A40="",0,IFERROR(INDEX('4'!$I$4:$I$103,MATCH($A40,'4'!$C$4:$C$103,0)),0))</f>
        <v>0</v>
      </c>
      <c r="L40" s="24" t="str">
        <f>IF($A40="","",IFERROR(INDEX('5'!$A$4:$A$103,MATCH($A40,'5'!$C$4:$C$103,0)),""))</f>
        <v/>
      </c>
      <c r="M40" s="15">
        <f>IF($A40="",0,IFERROR(INDEX('5'!$I$4:$I$103,MATCH($A40,'5'!$C$4:$C$103,0)),0))</f>
        <v>0</v>
      </c>
      <c r="N40" s="25" t="str">
        <f t="shared" si="2"/>
        <v/>
      </c>
      <c r="O40" s="26" t="str">
        <f t="shared" si="3"/>
        <v/>
      </c>
      <c r="AA40" t="str">
        <f>IF(ISNUMBER(SEARCH("Junior",Baarn!E10)),Baarn!C10,"")</f>
        <v>Noery Weber</v>
      </c>
      <c r="AB40">
        <f>IF(AA40="",0,IF(COUNTIF($AA$1:AA40,AA40)=1,1,0))</f>
        <v>1</v>
      </c>
      <c r="AC40">
        <f>IF(AB40=1,COUNTIF($AB$1:AB40,1),"")</f>
        <v>6</v>
      </c>
    </row>
    <row r="41" spans="1:29" x14ac:dyDescent="0.25">
      <c r="A41" s="13" t="str">
        <f>IFERROR(INDEX($AA$1:$AA$368,MATCH(38,$AC$1:$AC$368,0)),"")</f>
        <v/>
      </c>
      <c r="B41" s="13" t="str">
        <f>IF($A41="","",IF(IFERROR(INDEX(Barneveld!$E$4:$E$36,MATCH($A41,Barneveld!$C$4:$C$36,0)),"")&lt;&gt;"",IFERROR(INDEX(Barneveld!$E$4:$E$36,MATCH($A41,Barneveld!$C$4:$C$36,0)),""),IF(IFERROR(INDEX(Baarn!$F$4:$F$38,MATCH($A41,Baarn!$C$4:$C$38,0)),"")&lt;&gt;"",IFERROR(INDEX(Baarn!$F$4:$F$38,MATCH($A41,Baarn!$C$4:$C$38,0)),""),IF(IFERROR(INDEX(Scherpenzeel!$F$4:$F$103,MATCH($A41,Scherpenzeel!$C$4:$C$103,0)),"")&lt;&gt;"",IFERROR(INDEX(Scherpenzeel!$F$4:$F$103,MATCH($A41,Scherpenzeel!$C$4:$C$103,0)),""),IF(IFERROR(INDEX('4'!$F$4:$F$103,MATCH($A41,'4'!$C$4:$C$103,0)),"")&lt;&gt;"",IFERROR(INDEX('4'!$F$4:$F$103,MATCH($A41,'4'!$C$4:$C$103,0)),""),IFERROR(INDEX('5'!$F$4:$F$103,MATCH($A41,'5'!$C$4:$C$103,0)),""))))))</f>
        <v/>
      </c>
      <c r="C41" s="13" t="str">
        <f>IF($A41="","",IF(IFERROR(INDEX(Barneveld!$D$4:$D$36,MATCH($A41,Barneveld!$C$4:$C$36,0)),"")&lt;&gt;"",IFERROR(INDEX(Barneveld!$D$4:$D$36,MATCH($A41,Barneveld!$C$4:$C$36,0)),""),IF(IFERROR(INDEX(Baarn!$E$4:$E$38,MATCH($A41,Baarn!$C$4:$C$38,0)),"")&lt;&gt;"",IFERROR(INDEX(Baarn!$E$4:$E$38,MATCH($A41,Baarn!$C$4:$C$38,0)),""),IF(IFERROR(INDEX(Scherpenzeel!$E$4:$E$103,MATCH($A41,Scherpenzeel!$C$4:$C$103,0)),"")&lt;&gt;"",IFERROR(INDEX(Scherpenzeel!$E$4:$E$103,MATCH($A41,Scherpenzeel!$C$4:$C$103,0)),""),IF(IFERROR(INDEX('4'!$E$4:$E$103,MATCH($A41,'4'!$C$4:$C$103,0)),"")&lt;&gt;"",IFERROR(INDEX('4'!$E$4:$E$103,MATCH($A41,'4'!$C$4:$C$103,0)),""),IFERROR(INDEX('5'!$E$4:$E$103,MATCH($A41,'5'!$C$4:$C$103,0)),""))))))</f>
        <v/>
      </c>
      <c r="D41" s="24" t="str">
        <f>IF($A41="","",IFERROR(INDEX(Barneveld!$A$4:$A$36,MATCH($A41,Barneveld!$C$4:$C$36,0)),""))</f>
        <v/>
      </c>
      <c r="E41" s="15">
        <f>IF($A41="",0,IFERROR(INDEX(Barneveld!$H$4:$H$36,MATCH($A41,Barneveld!$C$4:$C$36,0)),0))</f>
        <v>0</v>
      </c>
      <c r="F41" s="24" t="str">
        <f>IF($A41="","",IFERROR(INDEX(Baarn!$A$4:$A$38,MATCH($A41,Baarn!$C$4:$C$38,0)),""))</f>
        <v/>
      </c>
      <c r="G41" s="15">
        <f>IF($A41="",0,IFERROR(INDEX(Baarn!$I$4:$I$38,MATCH($A41,Baarn!$C$4:$C$38,0)),0))</f>
        <v>0</v>
      </c>
      <c r="H41" s="24" t="str">
        <f>IF($A41="","",IFERROR(INDEX(Scherpenzeel!$A$4:$A$103,MATCH($A41,Scherpenzeel!$C$4:$C$103,0)),""))</f>
        <v/>
      </c>
      <c r="I41" s="15">
        <f>IF($A41="",0,IFERROR(INDEX(Scherpenzeel!$I$4:$I$103,MATCH($A41,Scherpenzeel!$C$4:$C$103,0)),0))</f>
        <v>0</v>
      </c>
      <c r="J41" s="24" t="str">
        <f>IF($A41="","",IFERROR(INDEX('4'!$A$4:$A$103,MATCH($A41,'4'!$C$4:$C$103,0)),""))</f>
        <v/>
      </c>
      <c r="K41" s="15">
        <f>IF($A41="",0,IFERROR(INDEX('4'!$I$4:$I$103,MATCH($A41,'4'!$C$4:$C$103,0)),0))</f>
        <v>0</v>
      </c>
      <c r="L41" s="24" t="str">
        <f>IF($A41="","",IFERROR(INDEX('5'!$A$4:$A$103,MATCH($A41,'5'!$C$4:$C$103,0)),""))</f>
        <v/>
      </c>
      <c r="M41" s="15">
        <f>IF($A41="",0,IFERROR(INDEX('5'!$I$4:$I$103,MATCH($A41,'5'!$C$4:$C$103,0)),0))</f>
        <v>0</v>
      </c>
      <c r="N41" s="25" t="str">
        <f t="shared" si="2"/>
        <v/>
      </c>
      <c r="O41" s="26" t="str">
        <f t="shared" si="3"/>
        <v/>
      </c>
      <c r="AA41" t="str">
        <f>IF(ISNUMBER(SEARCH("Junior",Baarn!E11)),Baarn!C11,"")</f>
        <v>Lars de Weert</v>
      </c>
      <c r="AB41">
        <f>IF(AA41="",0,IF(COUNTIF($AA$1:AA41,AA41)=1,1,0))</f>
        <v>1</v>
      </c>
      <c r="AC41">
        <f>IF(AB41=1,COUNTIF($AB$1:AB41,1),"")</f>
        <v>7</v>
      </c>
    </row>
    <row r="42" spans="1:29" x14ac:dyDescent="0.25">
      <c r="A42" s="13" t="str">
        <f>IFERROR(INDEX($AA$1:$AA$368,MATCH(39,$AC$1:$AC$368,0)),"")</f>
        <v/>
      </c>
      <c r="B42" s="13" t="str">
        <f>IF($A42="","",IF(IFERROR(INDEX(Barneveld!$E$4:$E$36,MATCH($A42,Barneveld!$C$4:$C$36,0)),"")&lt;&gt;"",IFERROR(INDEX(Barneveld!$E$4:$E$36,MATCH($A42,Barneveld!$C$4:$C$36,0)),""),IF(IFERROR(INDEX(Baarn!$F$4:$F$38,MATCH($A42,Baarn!$C$4:$C$38,0)),"")&lt;&gt;"",IFERROR(INDEX(Baarn!$F$4:$F$38,MATCH($A42,Baarn!$C$4:$C$38,0)),""),IF(IFERROR(INDEX(Scherpenzeel!$F$4:$F$103,MATCH($A42,Scherpenzeel!$C$4:$C$103,0)),"")&lt;&gt;"",IFERROR(INDEX(Scherpenzeel!$F$4:$F$103,MATCH($A42,Scherpenzeel!$C$4:$C$103,0)),""),IF(IFERROR(INDEX('4'!$F$4:$F$103,MATCH($A42,'4'!$C$4:$C$103,0)),"")&lt;&gt;"",IFERROR(INDEX('4'!$F$4:$F$103,MATCH($A42,'4'!$C$4:$C$103,0)),""),IFERROR(INDEX('5'!$F$4:$F$103,MATCH($A42,'5'!$C$4:$C$103,0)),""))))))</f>
        <v/>
      </c>
      <c r="C42" s="13" t="str">
        <f>IF($A42="","",IF(IFERROR(INDEX(Barneveld!$D$4:$D$36,MATCH($A42,Barneveld!$C$4:$C$36,0)),"")&lt;&gt;"",IFERROR(INDEX(Barneveld!$D$4:$D$36,MATCH($A42,Barneveld!$C$4:$C$36,0)),""),IF(IFERROR(INDEX(Baarn!$E$4:$E$38,MATCH($A42,Baarn!$C$4:$C$38,0)),"")&lt;&gt;"",IFERROR(INDEX(Baarn!$E$4:$E$38,MATCH($A42,Baarn!$C$4:$C$38,0)),""),IF(IFERROR(INDEX(Scherpenzeel!$E$4:$E$103,MATCH($A42,Scherpenzeel!$C$4:$C$103,0)),"")&lt;&gt;"",IFERROR(INDEX(Scherpenzeel!$E$4:$E$103,MATCH($A42,Scherpenzeel!$C$4:$C$103,0)),""),IF(IFERROR(INDEX('4'!$E$4:$E$103,MATCH($A42,'4'!$C$4:$C$103,0)),"")&lt;&gt;"",IFERROR(INDEX('4'!$E$4:$E$103,MATCH($A42,'4'!$C$4:$C$103,0)),""),IFERROR(INDEX('5'!$E$4:$E$103,MATCH($A42,'5'!$C$4:$C$103,0)),""))))))</f>
        <v/>
      </c>
      <c r="D42" s="24" t="str">
        <f>IF($A42="","",IFERROR(INDEX(Barneveld!$A$4:$A$36,MATCH($A42,Barneveld!$C$4:$C$36,0)),""))</f>
        <v/>
      </c>
      <c r="E42" s="15">
        <f>IF($A42="",0,IFERROR(INDEX(Barneveld!$H$4:$H$36,MATCH($A42,Barneveld!$C$4:$C$36,0)),0))</f>
        <v>0</v>
      </c>
      <c r="F42" s="24" t="str">
        <f>IF($A42="","",IFERROR(INDEX(Baarn!$A$4:$A$38,MATCH($A42,Baarn!$C$4:$C$38,0)),""))</f>
        <v/>
      </c>
      <c r="G42" s="15">
        <f>IF($A42="",0,IFERROR(INDEX(Baarn!$I$4:$I$38,MATCH($A42,Baarn!$C$4:$C$38,0)),0))</f>
        <v>0</v>
      </c>
      <c r="H42" s="24" t="str">
        <f>IF($A42="","",IFERROR(INDEX(Scherpenzeel!$A$4:$A$103,MATCH($A42,Scherpenzeel!$C$4:$C$103,0)),""))</f>
        <v/>
      </c>
      <c r="I42" s="15">
        <f>IF($A42="",0,IFERROR(INDEX(Scherpenzeel!$I$4:$I$103,MATCH($A42,Scherpenzeel!$C$4:$C$103,0)),0))</f>
        <v>0</v>
      </c>
      <c r="J42" s="24" t="str">
        <f>IF($A42="","",IFERROR(INDEX('4'!$A$4:$A$103,MATCH($A42,'4'!$C$4:$C$103,0)),""))</f>
        <v/>
      </c>
      <c r="K42" s="15">
        <f>IF($A42="",0,IFERROR(INDEX('4'!$I$4:$I$103,MATCH($A42,'4'!$C$4:$C$103,0)),0))</f>
        <v>0</v>
      </c>
      <c r="L42" s="24" t="str">
        <f>IF($A42="","",IFERROR(INDEX('5'!$A$4:$A$103,MATCH($A42,'5'!$C$4:$C$103,0)),""))</f>
        <v/>
      </c>
      <c r="M42" s="15">
        <f>IF($A42="",0,IFERROR(INDEX('5'!$I$4:$I$103,MATCH($A42,'5'!$C$4:$C$103,0)),0))</f>
        <v>0</v>
      </c>
      <c r="N42" s="25" t="str">
        <f t="shared" si="2"/>
        <v/>
      </c>
      <c r="O42" s="26" t="str">
        <f t="shared" si="3"/>
        <v/>
      </c>
      <c r="AA42" t="str">
        <f>IF(ISNUMBER(SEARCH("Junior",Baarn!E12)),Baarn!C12,"")</f>
        <v/>
      </c>
      <c r="AB42">
        <f>IF(AA42="",0,IF(COUNTIF($AA$1:AA42,AA42)=1,1,0))</f>
        <v>0</v>
      </c>
      <c r="AC42" t="str">
        <f>IF(AB42=1,COUNTIF($AB$1:AB42,1),"")</f>
        <v/>
      </c>
    </row>
    <row r="43" spans="1:29" x14ac:dyDescent="0.25">
      <c r="A43" s="13" t="str">
        <f>IFERROR(INDEX($AA$1:$AA$368,MATCH(40,$AC$1:$AC$368,0)),"")</f>
        <v/>
      </c>
      <c r="B43" s="13" t="str">
        <f>IF($A43="","",IF(IFERROR(INDEX(Barneveld!$E$4:$E$36,MATCH($A43,Barneveld!$C$4:$C$36,0)),"")&lt;&gt;"",IFERROR(INDEX(Barneveld!$E$4:$E$36,MATCH($A43,Barneveld!$C$4:$C$36,0)),""),IF(IFERROR(INDEX(Baarn!$F$4:$F$38,MATCH($A43,Baarn!$C$4:$C$38,0)),"")&lt;&gt;"",IFERROR(INDEX(Baarn!$F$4:$F$38,MATCH($A43,Baarn!$C$4:$C$38,0)),""),IF(IFERROR(INDEX(Scherpenzeel!$F$4:$F$103,MATCH($A43,Scherpenzeel!$C$4:$C$103,0)),"")&lt;&gt;"",IFERROR(INDEX(Scherpenzeel!$F$4:$F$103,MATCH($A43,Scherpenzeel!$C$4:$C$103,0)),""),IF(IFERROR(INDEX('4'!$F$4:$F$103,MATCH($A43,'4'!$C$4:$C$103,0)),"")&lt;&gt;"",IFERROR(INDEX('4'!$F$4:$F$103,MATCH($A43,'4'!$C$4:$C$103,0)),""),IFERROR(INDEX('5'!$F$4:$F$103,MATCH($A43,'5'!$C$4:$C$103,0)),""))))))</f>
        <v/>
      </c>
      <c r="C43" s="13" t="str">
        <f>IF($A43="","",IF(IFERROR(INDEX(Barneveld!$D$4:$D$36,MATCH($A43,Barneveld!$C$4:$C$36,0)),"")&lt;&gt;"",IFERROR(INDEX(Barneveld!$D$4:$D$36,MATCH($A43,Barneveld!$C$4:$C$36,0)),""),IF(IFERROR(INDEX(Baarn!$E$4:$E$38,MATCH($A43,Baarn!$C$4:$C$38,0)),"")&lt;&gt;"",IFERROR(INDEX(Baarn!$E$4:$E$38,MATCH($A43,Baarn!$C$4:$C$38,0)),""),IF(IFERROR(INDEX(Scherpenzeel!$E$4:$E$103,MATCH($A43,Scherpenzeel!$C$4:$C$103,0)),"")&lt;&gt;"",IFERROR(INDEX(Scherpenzeel!$E$4:$E$103,MATCH($A43,Scherpenzeel!$C$4:$C$103,0)),""),IF(IFERROR(INDEX('4'!$E$4:$E$103,MATCH($A43,'4'!$C$4:$C$103,0)),"")&lt;&gt;"",IFERROR(INDEX('4'!$E$4:$E$103,MATCH($A43,'4'!$C$4:$C$103,0)),""),IFERROR(INDEX('5'!$E$4:$E$103,MATCH($A43,'5'!$C$4:$C$103,0)),""))))))</f>
        <v/>
      </c>
      <c r="D43" s="24" t="str">
        <f>IF($A43="","",IFERROR(INDEX(Barneveld!$A$4:$A$36,MATCH($A43,Barneveld!$C$4:$C$36,0)),""))</f>
        <v/>
      </c>
      <c r="E43" s="15">
        <f>IF($A43="",0,IFERROR(INDEX(Barneveld!$H$4:$H$36,MATCH($A43,Barneveld!$C$4:$C$36,0)),0))</f>
        <v>0</v>
      </c>
      <c r="F43" s="24" t="str">
        <f>IF($A43="","",IFERROR(INDEX(Baarn!$A$4:$A$38,MATCH($A43,Baarn!$C$4:$C$38,0)),""))</f>
        <v/>
      </c>
      <c r="G43" s="15">
        <f>IF($A43="",0,IFERROR(INDEX(Baarn!$I$4:$I$38,MATCH($A43,Baarn!$C$4:$C$38,0)),0))</f>
        <v>0</v>
      </c>
      <c r="H43" s="24" t="str">
        <f>IF($A43="","",IFERROR(INDEX(Scherpenzeel!$A$4:$A$103,MATCH($A43,Scherpenzeel!$C$4:$C$103,0)),""))</f>
        <v/>
      </c>
      <c r="I43" s="15">
        <f>IF($A43="",0,IFERROR(INDEX(Scherpenzeel!$I$4:$I$103,MATCH($A43,Scherpenzeel!$C$4:$C$103,0)),0))</f>
        <v>0</v>
      </c>
      <c r="J43" s="24" t="str">
        <f>IF($A43="","",IFERROR(INDEX('4'!$A$4:$A$103,MATCH($A43,'4'!$C$4:$C$103,0)),""))</f>
        <v/>
      </c>
      <c r="K43" s="15">
        <f>IF($A43="",0,IFERROR(INDEX('4'!$I$4:$I$103,MATCH($A43,'4'!$C$4:$C$103,0)),0))</f>
        <v>0</v>
      </c>
      <c r="L43" s="24" t="str">
        <f>IF($A43="","",IFERROR(INDEX('5'!$A$4:$A$103,MATCH($A43,'5'!$C$4:$C$103,0)),""))</f>
        <v/>
      </c>
      <c r="M43" s="15">
        <f>IF($A43="",0,IFERROR(INDEX('5'!$I$4:$I$103,MATCH($A43,'5'!$C$4:$C$103,0)),0))</f>
        <v>0</v>
      </c>
      <c r="N43" s="25" t="str">
        <f t="shared" si="2"/>
        <v/>
      </c>
      <c r="O43" s="26" t="str">
        <f t="shared" si="3"/>
        <v/>
      </c>
      <c r="AA43" t="str">
        <f>IF(ISNUMBER(SEARCH("Junior",Baarn!E13)),Baarn!C13,"")</f>
        <v>Nick Broos</v>
      </c>
      <c r="AB43">
        <f>IF(AA43="",0,IF(COUNTIF($AA$1:AA43,AA43)=1,1,0))</f>
        <v>1</v>
      </c>
      <c r="AC43">
        <f>IF(AB43=1,COUNTIF($AB$1:AB43,1),"")</f>
        <v>8</v>
      </c>
    </row>
    <row r="44" spans="1:29" x14ac:dyDescent="0.25">
      <c r="A44" s="13" t="str">
        <f>IFERROR(INDEX($AA$1:$AA$368,MATCH(41,$AC$1:$AC$368,0)),"")</f>
        <v/>
      </c>
      <c r="B44" s="13" t="str">
        <f>IF($A44="","",IF(IFERROR(INDEX(Barneveld!$E$4:$E$36,MATCH($A44,Barneveld!$C$4:$C$36,0)),"")&lt;&gt;"",IFERROR(INDEX(Barneveld!$E$4:$E$36,MATCH($A44,Barneveld!$C$4:$C$36,0)),""),IF(IFERROR(INDEX(Baarn!$F$4:$F$38,MATCH($A44,Baarn!$C$4:$C$38,0)),"")&lt;&gt;"",IFERROR(INDEX(Baarn!$F$4:$F$38,MATCH($A44,Baarn!$C$4:$C$38,0)),""),IF(IFERROR(INDEX(Scherpenzeel!$F$4:$F$103,MATCH($A44,Scherpenzeel!$C$4:$C$103,0)),"")&lt;&gt;"",IFERROR(INDEX(Scherpenzeel!$F$4:$F$103,MATCH($A44,Scherpenzeel!$C$4:$C$103,0)),""),IF(IFERROR(INDEX('4'!$F$4:$F$103,MATCH($A44,'4'!$C$4:$C$103,0)),"")&lt;&gt;"",IFERROR(INDEX('4'!$F$4:$F$103,MATCH($A44,'4'!$C$4:$C$103,0)),""),IFERROR(INDEX('5'!$F$4:$F$103,MATCH($A44,'5'!$C$4:$C$103,0)),""))))))</f>
        <v/>
      </c>
      <c r="C44" s="13" t="str">
        <f>IF($A44="","",IF(IFERROR(INDEX(Barneveld!$D$4:$D$36,MATCH($A44,Barneveld!$C$4:$C$36,0)),"")&lt;&gt;"",IFERROR(INDEX(Barneveld!$D$4:$D$36,MATCH($A44,Barneveld!$C$4:$C$36,0)),""),IF(IFERROR(INDEX(Baarn!$E$4:$E$38,MATCH($A44,Baarn!$C$4:$C$38,0)),"")&lt;&gt;"",IFERROR(INDEX(Baarn!$E$4:$E$38,MATCH($A44,Baarn!$C$4:$C$38,0)),""),IF(IFERROR(INDEX(Scherpenzeel!$E$4:$E$103,MATCH($A44,Scherpenzeel!$C$4:$C$103,0)),"")&lt;&gt;"",IFERROR(INDEX(Scherpenzeel!$E$4:$E$103,MATCH($A44,Scherpenzeel!$C$4:$C$103,0)),""),IF(IFERROR(INDEX('4'!$E$4:$E$103,MATCH($A44,'4'!$C$4:$C$103,0)),"")&lt;&gt;"",IFERROR(INDEX('4'!$E$4:$E$103,MATCH($A44,'4'!$C$4:$C$103,0)),""),IFERROR(INDEX('5'!$E$4:$E$103,MATCH($A44,'5'!$C$4:$C$103,0)),""))))))</f>
        <v/>
      </c>
      <c r="D44" s="24" t="str">
        <f>IF($A44="","",IFERROR(INDEX(Barneveld!$A$4:$A$36,MATCH($A44,Barneveld!$C$4:$C$36,0)),""))</f>
        <v/>
      </c>
      <c r="E44" s="15">
        <f>IF($A44="",0,IFERROR(INDEX(Barneveld!$H$4:$H$36,MATCH($A44,Barneveld!$C$4:$C$36,0)),0))</f>
        <v>0</v>
      </c>
      <c r="F44" s="24" t="str">
        <f>IF($A44="","",IFERROR(INDEX(Baarn!$A$4:$A$38,MATCH($A44,Baarn!$C$4:$C$38,0)),""))</f>
        <v/>
      </c>
      <c r="G44" s="15">
        <f>IF($A44="",0,IFERROR(INDEX(Baarn!$I$4:$I$38,MATCH($A44,Baarn!$C$4:$C$38,0)),0))</f>
        <v>0</v>
      </c>
      <c r="H44" s="24" t="str">
        <f>IF($A44="","",IFERROR(INDEX(Scherpenzeel!$A$4:$A$103,MATCH($A44,Scherpenzeel!$C$4:$C$103,0)),""))</f>
        <v/>
      </c>
      <c r="I44" s="15">
        <f>IF($A44="",0,IFERROR(INDEX(Scherpenzeel!$I$4:$I$103,MATCH($A44,Scherpenzeel!$C$4:$C$103,0)),0))</f>
        <v>0</v>
      </c>
      <c r="J44" s="24" t="str">
        <f>IF($A44="","",IFERROR(INDEX('4'!$A$4:$A$103,MATCH($A44,'4'!$C$4:$C$103,0)),""))</f>
        <v/>
      </c>
      <c r="K44" s="15">
        <f>IF($A44="",0,IFERROR(INDEX('4'!$I$4:$I$103,MATCH($A44,'4'!$C$4:$C$103,0)),0))</f>
        <v>0</v>
      </c>
      <c r="L44" s="24" t="str">
        <f>IF($A44="","",IFERROR(INDEX('5'!$A$4:$A$103,MATCH($A44,'5'!$C$4:$C$103,0)),""))</f>
        <v/>
      </c>
      <c r="M44" s="15">
        <f>IF($A44="",0,IFERROR(INDEX('5'!$I$4:$I$103,MATCH($A44,'5'!$C$4:$C$103,0)),0))</f>
        <v>0</v>
      </c>
      <c r="N44" s="25" t="str">
        <f t="shared" si="2"/>
        <v/>
      </c>
      <c r="O44" s="26" t="str">
        <f t="shared" si="3"/>
        <v/>
      </c>
      <c r="AA44" t="str">
        <f>IF(ISNUMBER(SEARCH("Junior",Baarn!E14)),Baarn!C14,"")</f>
        <v>Nout Remeeus</v>
      </c>
      <c r="AB44">
        <f>IF(AA44="",0,IF(COUNTIF($AA$1:AA44,AA44)=1,1,0))</f>
        <v>0</v>
      </c>
      <c r="AC44" t="str">
        <f>IF(AB44=1,COUNTIF($AB$1:AB44,1),"")</f>
        <v/>
      </c>
    </row>
    <row r="45" spans="1:29" x14ac:dyDescent="0.25">
      <c r="A45" s="13" t="str">
        <f>IFERROR(INDEX($AA$1:$AA$368,MATCH(42,$AC$1:$AC$368,0)),"")</f>
        <v/>
      </c>
      <c r="B45" s="13" t="str">
        <f>IF($A45="","",IF(IFERROR(INDEX(Barneveld!$E$4:$E$36,MATCH($A45,Barneveld!$C$4:$C$36,0)),"")&lt;&gt;"",IFERROR(INDEX(Barneveld!$E$4:$E$36,MATCH($A45,Barneveld!$C$4:$C$36,0)),""),IF(IFERROR(INDEX(Baarn!$F$4:$F$38,MATCH($A45,Baarn!$C$4:$C$38,0)),"")&lt;&gt;"",IFERROR(INDEX(Baarn!$F$4:$F$38,MATCH($A45,Baarn!$C$4:$C$38,0)),""),IF(IFERROR(INDEX(Scherpenzeel!$F$4:$F$103,MATCH($A45,Scherpenzeel!$C$4:$C$103,0)),"")&lt;&gt;"",IFERROR(INDEX(Scherpenzeel!$F$4:$F$103,MATCH($A45,Scherpenzeel!$C$4:$C$103,0)),""),IF(IFERROR(INDEX('4'!$F$4:$F$103,MATCH($A45,'4'!$C$4:$C$103,0)),"")&lt;&gt;"",IFERROR(INDEX('4'!$F$4:$F$103,MATCH($A45,'4'!$C$4:$C$103,0)),""),IFERROR(INDEX('5'!$F$4:$F$103,MATCH($A45,'5'!$C$4:$C$103,0)),""))))))</f>
        <v/>
      </c>
      <c r="C45" s="13" t="str">
        <f>IF($A45="","",IF(IFERROR(INDEX(Barneveld!$D$4:$D$36,MATCH($A45,Barneveld!$C$4:$C$36,0)),"")&lt;&gt;"",IFERROR(INDEX(Barneveld!$D$4:$D$36,MATCH($A45,Barneveld!$C$4:$C$36,0)),""),IF(IFERROR(INDEX(Baarn!$E$4:$E$38,MATCH($A45,Baarn!$C$4:$C$38,0)),"")&lt;&gt;"",IFERROR(INDEX(Baarn!$E$4:$E$38,MATCH($A45,Baarn!$C$4:$C$38,0)),""),IF(IFERROR(INDEX(Scherpenzeel!$E$4:$E$103,MATCH($A45,Scherpenzeel!$C$4:$C$103,0)),"")&lt;&gt;"",IFERROR(INDEX(Scherpenzeel!$E$4:$E$103,MATCH($A45,Scherpenzeel!$C$4:$C$103,0)),""),IF(IFERROR(INDEX('4'!$E$4:$E$103,MATCH($A45,'4'!$C$4:$C$103,0)),"")&lt;&gt;"",IFERROR(INDEX('4'!$E$4:$E$103,MATCH($A45,'4'!$C$4:$C$103,0)),""),IFERROR(INDEX('5'!$E$4:$E$103,MATCH($A45,'5'!$C$4:$C$103,0)),""))))))</f>
        <v/>
      </c>
      <c r="D45" s="24" t="str">
        <f>IF($A45="","",IFERROR(INDEX(Barneveld!$A$4:$A$36,MATCH($A45,Barneveld!$C$4:$C$36,0)),""))</f>
        <v/>
      </c>
      <c r="E45" s="15">
        <f>IF($A45="",0,IFERROR(INDEX(Barneveld!$H$4:$H$36,MATCH($A45,Barneveld!$C$4:$C$36,0)),0))</f>
        <v>0</v>
      </c>
      <c r="F45" s="24" t="str">
        <f>IF($A45="","",IFERROR(INDEX(Baarn!$A$4:$A$38,MATCH($A45,Baarn!$C$4:$C$38,0)),""))</f>
        <v/>
      </c>
      <c r="G45" s="15">
        <f>IF($A45="",0,IFERROR(INDEX(Baarn!$I$4:$I$38,MATCH($A45,Baarn!$C$4:$C$38,0)),0))</f>
        <v>0</v>
      </c>
      <c r="H45" s="24" t="str">
        <f>IF($A45="","",IFERROR(INDEX(Scherpenzeel!$A$4:$A$103,MATCH($A45,Scherpenzeel!$C$4:$C$103,0)),""))</f>
        <v/>
      </c>
      <c r="I45" s="15">
        <f>IF($A45="",0,IFERROR(INDEX(Scherpenzeel!$I$4:$I$103,MATCH($A45,Scherpenzeel!$C$4:$C$103,0)),0))</f>
        <v>0</v>
      </c>
      <c r="J45" s="24" t="str">
        <f>IF($A45="","",IFERROR(INDEX('4'!$A$4:$A$103,MATCH($A45,'4'!$C$4:$C$103,0)),""))</f>
        <v/>
      </c>
      <c r="K45" s="15">
        <f>IF($A45="",0,IFERROR(INDEX('4'!$I$4:$I$103,MATCH($A45,'4'!$C$4:$C$103,0)),0))</f>
        <v>0</v>
      </c>
      <c r="L45" s="24" t="str">
        <f>IF($A45="","",IFERROR(INDEX('5'!$A$4:$A$103,MATCH($A45,'5'!$C$4:$C$103,0)),""))</f>
        <v/>
      </c>
      <c r="M45" s="15">
        <f>IF($A45="",0,IFERROR(INDEX('5'!$I$4:$I$103,MATCH($A45,'5'!$C$4:$C$103,0)),0))</f>
        <v>0</v>
      </c>
      <c r="N45" s="25" t="str">
        <f t="shared" si="2"/>
        <v/>
      </c>
      <c r="O45" s="26" t="str">
        <f t="shared" si="3"/>
        <v/>
      </c>
      <c r="AA45" t="str">
        <f>IF(ISNUMBER(SEARCH("Junior",Baarn!E15)),Baarn!C15,"")</f>
        <v/>
      </c>
      <c r="AB45">
        <f>IF(AA45="",0,IF(COUNTIF($AA$1:AA45,AA45)=1,1,0))</f>
        <v>0</v>
      </c>
      <c r="AC45" t="str">
        <f>IF(AB45=1,COUNTIF($AB$1:AB45,1),"")</f>
        <v/>
      </c>
    </row>
    <row r="46" spans="1:29" x14ac:dyDescent="0.25">
      <c r="A46" s="13" t="str">
        <f>IFERROR(INDEX($AA$1:$AA$368,MATCH(43,$AC$1:$AC$368,0)),"")</f>
        <v/>
      </c>
      <c r="B46" s="13" t="str">
        <f>IF($A46="","",IF(IFERROR(INDEX(Barneveld!$E$4:$E$36,MATCH($A46,Barneveld!$C$4:$C$36,0)),"")&lt;&gt;"",IFERROR(INDEX(Barneveld!$E$4:$E$36,MATCH($A46,Barneveld!$C$4:$C$36,0)),""),IF(IFERROR(INDEX(Baarn!$F$4:$F$38,MATCH($A46,Baarn!$C$4:$C$38,0)),"")&lt;&gt;"",IFERROR(INDEX(Baarn!$F$4:$F$38,MATCH($A46,Baarn!$C$4:$C$38,0)),""),IF(IFERROR(INDEX(Scherpenzeel!$F$4:$F$103,MATCH($A46,Scherpenzeel!$C$4:$C$103,0)),"")&lt;&gt;"",IFERROR(INDEX(Scherpenzeel!$F$4:$F$103,MATCH($A46,Scherpenzeel!$C$4:$C$103,0)),""),IF(IFERROR(INDEX('4'!$F$4:$F$103,MATCH($A46,'4'!$C$4:$C$103,0)),"")&lt;&gt;"",IFERROR(INDEX('4'!$F$4:$F$103,MATCH($A46,'4'!$C$4:$C$103,0)),""),IFERROR(INDEX('5'!$F$4:$F$103,MATCH($A46,'5'!$C$4:$C$103,0)),""))))))</f>
        <v/>
      </c>
      <c r="C46" s="13" t="str">
        <f>IF($A46="","",IF(IFERROR(INDEX(Barneveld!$D$4:$D$36,MATCH($A46,Barneveld!$C$4:$C$36,0)),"")&lt;&gt;"",IFERROR(INDEX(Barneveld!$D$4:$D$36,MATCH($A46,Barneveld!$C$4:$C$36,0)),""),IF(IFERROR(INDEX(Baarn!$E$4:$E$38,MATCH($A46,Baarn!$C$4:$C$38,0)),"")&lt;&gt;"",IFERROR(INDEX(Baarn!$E$4:$E$38,MATCH($A46,Baarn!$C$4:$C$38,0)),""),IF(IFERROR(INDEX(Scherpenzeel!$E$4:$E$103,MATCH($A46,Scherpenzeel!$C$4:$C$103,0)),"")&lt;&gt;"",IFERROR(INDEX(Scherpenzeel!$E$4:$E$103,MATCH($A46,Scherpenzeel!$C$4:$C$103,0)),""),IF(IFERROR(INDEX('4'!$E$4:$E$103,MATCH($A46,'4'!$C$4:$C$103,0)),"")&lt;&gt;"",IFERROR(INDEX('4'!$E$4:$E$103,MATCH($A46,'4'!$C$4:$C$103,0)),""),IFERROR(INDEX('5'!$E$4:$E$103,MATCH($A46,'5'!$C$4:$C$103,0)),""))))))</f>
        <v/>
      </c>
      <c r="D46" s="24" t="str">
        <f>IF($A46="","",IFERROR(INDEX(Barneveld!$A$4:$A$36,MATCH($A46,Barneveld!$C$4:$C$36,0)),""))</f>
        <v/>
      </c>
      <c r="E46" s="15">
        <f>IF($A46="",0,IFERROR(INDEX(Barneveld!$H$4:$H$36,MATCH($A46,Barneveld!$C$4:$C$36,0)),0))</f>
        <v>0</v>
      </c>
      <c r="F46" s="24" t="str">
        <f>IF($A46="","",IFERROR(INDEX(Baarn!$A$4:$A$38,MATCH($A46,Baarn!$C$4:$C$38,0)),""))</f>
        <v/>
      </c>
      <c r="G46" s="15">
        <f>IF($A46="",0,IFERROR(INDEX(Baarn!$I$4:$I$38,MATCH($A46,Baarn!$C$4:$C$38,0)),0))</f>
        <v>0</v>
      </c>
      <c r="H46" s="24" t="str">
        <f>IF($A46="","",IFERROR(INDEX(Scherpenzeel!$A$4:$A$103,MATCH($A46,Scherpenzeel!$C$4:$C$103,0)),""))</f>
        <v/>
      </c>
      <c r="I46" s="15">
        <f>IF($A46="",0,IFERROR(INDEX(Scherpenzeel!$I$4:$I$103,MATCH($A46,Scherpenzeel!$C$4:$C$103,0)),0))</f>
        <v>0</v>
      </c>
      <c r="J46" s="24" t="str">
        <f>IF($A46="","",IFERROR(INDEX('4'!$A$4:$A$103,MATCH($A46,'4'!$C$4:$C$103,0)),""))</f>
        <v/>
      </c>
      <c r="K46" s="15">
        <f>IF($A46="",0,IFERROR(INDEX('4'!$I$4:$I$103,MATCH($A46,'4'!$C$4:$C$103,0)),0))</f>
        <v>0</v>
      </c>
      <c r="L46" s="24" t="str">
        <f>IF($A46="","",IFERROR(INDEX('5'!$A$4:$A$103,MATCH($A46,'5'!$C$4:$C$103,0)),""))</f>
        <v/>
      </c>
      <c r="M46" s="15">
        <f>IF($A46="",0,IFERROR(INDEX('5'!$I$4:$I$103,MATCH($A46,'5'!$C$4:$C$103,0)),0))</f>
        <v>0</v>
      </c>
      <c r="N46" s="25" t="str">
        <f t="shared" si="2"/>
        <v/>
      </c>
      <c r="O46" s="26" t="str">
        <f t="shared" si="3"/>
        <v/>
      </c>
      <c r="AA46" t="str">
        <f>IF(ISNUMBER(SEARCH("Junior",Baarn!E16)),Baarn!C16,"")</f>
        <v/>
      </c>
      <c r="AB46">
        <f>IF(AA46="",0,IF(COUNTIF($AA$1:AA46,AA46)=1,1,0))</f>
        <v>0</v>
      </c>
      <c r="AC46" t="str">
        <f>IF(AB46=1,COUNTIF($AB$1:AB46,1),"")</f>
        <v/>
      </c>
    </row>
    <row r="47" spans="1:29" x14ac:dyDescent="0.25">
      <c r="A47" s="13" t="str">
        <f>IFERROR(INDEX($AA$1:$AA$368,MATCH(44,$AC$1:$AC$368,0)),"")</f>
        <v/>
      </c>
      <c r="B47" s="13" t="str">
        <f>IF($A47="","",IF(IFERROR(INDEX(Barneveld!$E$4:$E$36,MATCH($A47,Barneveld!$C$4:$C$36,0)),"")&lt;&gt;"",IFERROR(INDEX(Barneveld!$E$4:$E$36,MATCH($A47,Barneveld!$C$4:$C$36,0)),""),IF(IFERROR(INDEX(Baarn!$F$4:$F$38,MATCH($A47,Baarn!$C$4:$C$38,0)),"")&lt;&gt;"",IFERROR(INDEX(Baarn!$F$4:$F$38,MATCH($A47,Baarn!$C$4:$C$38,0)),""),IF(IFERROR(INDEX(Scherpenzeel!$F$4:$F$103,MATCH($A47,Scherpenzeel!$C$4:$C$103,0)),"")&lt;&gt;"",IFERROR(INDEX(Scherpenzeel!$F$4:$F$103,MATCH($A47,Scherpenzeel!$C$4:$C$103,0)),""),IF(IFERROR(INDEX('4'!$F$4:$F$103,MATCH($A47,'4'!$C$4:$C$103,0)),"")&lt;&gt;"",IFERROR(INDEX('4'!$F$4:$F$103,MATCH($A47,'4'!$C$4:$C$103,0)),""),IFERROR(INDEX('5'!$F$4:$F$103,MATCH($A47,'5'!$C$4:$C$103,0)),""))))))</f>
        <v/>
      </c>
      <c r="C47" s="13" t="str">
        <f>IF($A47="","",IF(IFERROR(INDEX(Barneveld!$D$4:$D$36,MATCH($A47,Barneveld!$C$4:$C$36,0)),"")&lt;&gt;"",IFERROR(INDEX(Barneveld!$D$4:$D$36,MATCH($A47,Barneveld!$C$4:$C$36,0)),""),IF(IFERROR(INDEX(Baarn!$E$4:$E$38,MATCH($A47,Baarn!$C$4:$C$38,0)),"")&lt;&gt;"",IFERROR(INDEX(Baarn!$E$4:$E$38,MATCH($A47,Baarn!$C$4:$C$38,0)),""),IF(IFERROR(INDEX(Scherpenzeel!$E$4:$E$103,MATCH($A47,Scherpenzeel!$C$4:$C$103,0)),"")&lt;&gt;"",IFERROR(INDEX(Scherpenzeel!$E$4:$E$103,MATCH($A47,Scherpenzeel!$C$4:$C$103,0)),""),IF(IFERROR(INDEX('4'!$E$4:$E$103,MATCH($A47,'4'!$C$4:$C$103,0)),"")&lt;&gt;"",IFERROR(INDEX('4'!$E$4:$E$103,MATCH($A47,'4'!$C$4:$C$103,0)),""),IFERROR(INDEX('5'!$E$4:$E$103,MATCH($A47,'5'!$C$4:$C$103,0)),""))))))</f>
        <v/>
      </c>
      <c r="D47" s="24" t="str">
        <f>IF($A47="","",IFERROR(INDEX(Barneveld!$A$4:$A$36,MATCH($A47,Barneveld!$C$4:$C$36,0)),""))</f>
        <v/>
      </c>
      <c r="E47" s="15">
        <f>IF($A47="",0,IFERROR(INDEX(Barneveld!$H$4:$H$36,MATCH($A47,Barneveld!$C$4:$C$36,0)),0))</f>
        <v>0</v>
      </c>
      <c r="F47" s="24" t="str">
        <f>IF($A47="","",IFERROR(INDEX(Baarn!$A$4:$A$38,MATCH($A47,Baarn!$C$4:$C$38,0)),""))</f>
        <v/>
      </c>
      <c r="G47" s="15">
        <f>IF($A47="",0,IFERROR(INDEX(Baarn!$I$4:$I$38,MATCH($A47,Baarn!$C$4:$C$38,0)),0))</f>
        <v>0</v>
      </c>
      <c r="H47" s="24" t="str">
        <f>IF($A47="","",IFERROR(INDEX(Scherpenzeel!$A$4:$A$103,MATCH($A47,Scherpenzeel!$C$4:$C$103,0)),""))</f>
        <v/>
      </c>
      <c r="I47" s="15">
        <f>IF($A47="",0,IFERROR(INDEX(Scherpenzeel!$I$4:$I$103,MATCH($A47,Scherpenzeel!$C$4:$C$103,0)),0))</f>
        <v>0</v>
      </c>
      <c r="J47" s="24" t="str">
        <f>IF($A47="","",IFERROR(INDEX('4'!$A$4:$A$103,MATCH($A47,'4'!$C$4:$C$103,0)),""))</f>
        <v/>
      </c>
      <c r="K47" s="15">
        <f>IF($A47="",0,IFERROR(INDEX('4'!$I$4:$I$103,MATCH($A47,'4'!$C$4:$C$103,0)),0))</f>
        <v>0</v>
      </c>
      <c r="L47" s="24" t="str">
        <f>IF($A47="","",IFERROR(INDEX('5'!$A$4:$A$103,MATCH($A47,'5'!$C$4:$C$103,0)),""))</f>
        <v/>
      </c>
      <c r="M47" s="15">
        <f>IF($A47="",0,IFERROR(INDEX('5'!$I$4:$I$103,MATCH($A47,'5'!$C$4:$C$103,0)),0))</f>
        <v>0</v>
      </c>
      <c r="N47" s="25" t="str">
        <f t="shared" si="2"/>
        <v/>
      </c>
      <c r="O47" s="26" t="str">
        <f t="shared" si="3"/>
        <v/>
      </c>
      <c r="AA47" t="str">
        <f>IF(ISNUMBER(SEARCH("Junior",Baarn!E17)),Baarn!C17,"")</f>
        <v>Ole Niesing</v>
      </c>
      <c r="AB47">
        <f>IF(AA47="",0,IF(COUNTIF($AA$1:AA47,AA47)=1,1,0))</f>
        <v>1</v>
      </c>
      <c r="AC47">
        <f>IF(AB47=1,COUNTIF($AB$1:AB47,1),"")</f>
        <v>9</v>
      </c>
    </row>
    <row r="48" spans="1:29" x14ac:dyDescent="0.25">
      <c r="A48" s="13" t="str">
        <f>IFERROR(INDEX($AA$1:$AA$368,MATCH(45,$AC$1:$AC$368,0)),"")</f>
        <v/>
      </c>
      <c r="B48" s="13" t="str">
        <f>IF($A48="","",IF(IFERROR(INDEX(Barneveld!$E$4:$E$36,MATCH($A48,Barneveld!$C$4:$C$36,0)),"")&lt;&gt;"",IFERROR(INDEX(Barneveld!$E$4:$E$36,MATCH($A48,Barneveld!$C$4:$C$36,0)),""),IF(IFERROR(INDEX(Baarn!$F$4:$F$38,MATCH($A48,Baarn!$C$4:$C$38,0)),"")&lt;&gt;"",IFERROR(INDEX(Baarn!$F$4:$F$38,MATCH($A48,Baarn!$C$4:$C$38,0)),""),IF(IFERROR(INDEX(Scherpenzeel!$F$4:$F$103,MATCH($A48,Scherpenzeel!$C$4:$C$103,0)),"")&lt;&gt;"",IFERROR(INDEX(Scherpenzeel!$F$4:$F$103,MATCH($A48,Scherpenzeel!$C$4:$C$103,0)),""),IF(IFERROR(INDEX('4'!$F$4:$F$103,MATCH($A48,'4'!$C$4:$C$103,0)),"")&lt;&gt;"",IFERROR(INDEX('4'!$F$4:$F$103,MATCH($A48,'4'!$C$4:$C$103,0)),""),IFERROR(INDEX('5'!$F$4:$F$103,MATCH($A48,'5'!$C$4:$C$103,0)),""))))))</f>
        <v/>
      </c>
      <c r="C48" s="13" t="str">
        <f>IF($A48="","",IF(IFERROR(INDEX(Barneveld!$D$4:$D$36,MATCH($A48,Barneveld!$C$4:$C$36,0)),"")&lt;&gt;"",IFERROR(INDEX(Barneveld!$D$4:$D$36,MATCH($A48,Barneveld!$C$4:$C$36,0)),""),IF(IFERROR(INDEX(Baarn!$E$4:$E$38,MATCH($A48,Baarn!$C$4:$C$38,0)),"")&lt;&gt;"",IFERROR(INDEX(Baarn!$E$4:$E$38,MATCH($A48,Baarn!$C$4:$C$38,0)),""),IF(IFERROR(INDEX(Scherpenzeel!$E$4:$E$103,MATCH($A48,Scherpenzeel!$C$4:$C$103,0)),"")&lt;&gt;"",IFERROR(INDEX(Scherpenzeel!$E$4:$E$103,MATCH($A48,Scherpenzeel!$C$4:$C$103,0)),""),IF(IFERROR(INDEX('4'!$E$4:$E$103,MATCH($A48,'4'!$C$4:$C$103,0)),"")&lt;&gt;"",IFERROR(INDEX('4'!$E$4:$E$103,MATCH($A48,'4'!$C$4:$C$103,0)),""),IFERROR(INDEX('5'!$E$4:$E$103,MATCH($A48,'5'!$C$4:$C$103,0)),""))))))</f>
        <v/>
      </c>
      <c r="D48" s="24" t="str">
        <f>IF($A48="","",IFERROR(INDEX(Barneveld!$A$4:$A$36,MATCH($A48,Barneveld!$C$4:$C$36,0)),""))</f>
        <v/>
      </c>
      <c r="E48" s="15">
        <f>IF($A48="",0,IFERROR(INDEX(Barneveld!$H$4:$H$36,MATCH($A48,Barneveld!$C$4:$C$36,0)),0))</f>
        <v>0</v>
      </c>
      <c r="F48" s="24" t="str">
        <f>IF($A48="","",IFERROR(INDEX(Baarn!$A$4:$A$38,MATCH($A48,Baarn!$C$4:$C$38,0)),""))</f>
        <v/>
      </c>
      <c r="G48" s="15">
        <f>IF($A48="",0,IFERROR(INDEX(Baarn!$I$4:$I$38,MATCH($A48,Baarn!$C$4:$C$38,0)),0))</f>
        <v>0</v>
      </c>
      <c r="H48" s="24" t="str">
        <f>IF($A48="","",IFERROR(INDEX(Scherpenzeel!$A$4:$A$103,MATCH($A48,Scherpenzeel!$C$4:$C$103,0)),""))</f>
        <v/>
      </c>
      <c r="I48" s="15">
        <f>IF($A48="",0,IFERROR(INDEX(Scherpenzeel!$I$4:$I$103,MATCH($A48,Scherpenzeel!$C$4:$C$103,0)),0))</f>
        <v>0</v>
      </c>
      <c r="J48" s="24" t="str">
        <f>IF($A48="","",IFERROR(INDEX('4'!$A$4:$A$103,MATCH($A48,'4'!$C$4:$C$103,0)),""))</f>
        <v/>
      </c>
      <c r="K48" s="15">
        <f>IF($A48="",0,IFERROR(INDEX('4'!$I$4:$I$103,MATCH($A48,'4'!$C$4:$C$103,0)),0))</f>
        <v>0</v>
      </c>
      <c r="L48" s="24" t="str">
        <f>IF($A48="","",IFERROR(INDEX('5'!$A$4:$A$103,MATCH($A48,'5'!$C$4:$C$103,0)),""))</f>
        <v/>
      </c>
      <c r="M48" s="15">
        <f>IF($A48="",0,IFERROR(INDEX('5'!$I$4:$I$103,MATCH($A48,'5'!$C$4:$C$103,0)),0))</f>
        <v>0</v>
      </c>
      <c r="N48" s="25" t="str">
        <f t="shared" si="2"/>
        <v/>
      </c>
      <c r="O48" s="26" t="str">
        <f t="shared" si="3"/>
        <v/>
      </c>
      <c r="AA48" t="str">
        <f>IF(ISNUMBER(SEARCH("Junior",Baarn!E18)),Baarn!C18,"")</f>
        <v/>
      </c>
      <c r="AB48">
        <f>IF(AA48="",0,IF(COUNTIF($AA$1:AA48,AA48)=1,1,0))</f>
        <v>0</v>
      </c>
      <c r="AC48" t="str">
        <f>IF(AB48=1,COUNTIF($AB$1:AB48,1),"")</f>
        <v/>
      </c>
    </row>
    <row r="49" spans="1:29" x14ac:dyDescent="0.25">
      <c r="A49" s="13" t="str">
        <f>IFERROR(INDEX($AA$1:$AA$368,MATCH(46,$AC$1:$AC$368,0)),"")</f>
        <v/>
      </c>
      <c r="B49" s="13" t="str">
        <f>IF($A49="","",IF(IFERROR(INDEX(Barneveld!$E$4:$E$36,MATCH($A49,Barneveld!$C$4:$C$36,0)),"")&lt;&gt;"",IFERROR(INDEX(Barneveld!$E$4:$E$36,MATCH($A49,Barneveld!$C$4:$C$36,0)),""),IF(IFERROR(INDEX(Baarn!$F$4:$F$38,MATCH($A49,Baarn!$C$4:$C$38,0)),"")&lt;&gt;"",IFERROR(INDEX(Baarn!$F$4:$F$38,MATCH($A49,Baarn!$C$4:$C$38,0)),""),IF(IFERROR(INDEX(Scherpenzeel!$F$4:$F$103,MATCH($A49,Scherpenzeel!$C$4:$C$103,0)),"")&lt;&gt;"",IFERROR(INDEX(Scherpenzeel!$F$4:$F$103,MATCH($A49,Scherpenzeel!$C$4:$C$103,0)),""),IF(IFERROR(INDEX('4'!$F$4:$F$103,MATCH($A49,'4'!$C$4:$C$103,0)),"")&lt;&gt;"",IFERROR(INDEX('4'!$F$4:$F$103,MATCH($A49,'4'!$C$4:$C$103,0)),""),IFERROR(INDEX('5'!$F$4:$F$103,MATCH($A49,'5'!$C$4:$C$103,0)),""))))))</f>
        <v/>
      </c>
      <c r="C49" s="13" t="str">
        <f>IF($A49="","",IF(IFERROR(INDEX(Barneveld!$D$4:$D$36,MATCH($A49,Barneveld!$C$4:$C$36,0)),"")&lt;&gt;"",IFERROR(INDEX(Barneveld!$D$4:$D$36,MATCH($A49,Barneveld!$C$4:$C$36,0)),""),IF(IFERROR(INDEX(Baarn!$E$4:$E$38,MATCH($A49,Baarn!$C$4:$C$38,0)),"")&lt;&gt;"",IFERROR(INDEX(Baarn!$E$4:$E$38,MATCH($A49,Baarn!$C$4:$C$38,0)),""),IF(IFERROR(INDEX(Scherpenzeel!$E$4:$E$103,MATCH($A49,Scherpenzeel!$C$4:$C$103,0)),"")&lt;&gt;"",IFERROR(INDEX(Scherpenzeel!$E$4:$E$103,MATCH($A49,Scherpenzeel!$C$4:$C$103,0)),""),IF(IFERROR(INDEX('4'!$E$4:$E$103,MATCH($A49,'4'!$C$4:$C$103,0)),"")&lt;&gt;"",IFERROR(INDEX('4'!$E$4:$E$103,MATCH($A49,'4'!$C$4:$C$103,0)),""),IFERROR(INDEX('5'!$E$4:$E$103,MATCH($A49,'5'!$C$4:$C$103,0)),""))))))</f>
        <v/>
      </c>
      <c r="D49" s="24" t="str">
        <f>IF($A49="","",IFERROR(INDEX(Barneveld!$A$4:$A$36,MATCH($A49,Barneveld!$C$4:$C$36,0)),""))</f>
        <v/>
      </c>
      <c r="E49" s="15">
        <f>IF($A49="",0,IFERROR(INDEX(Barneveld!$H$4:$H$36,MATCH($A49,Barneveld!$C$4:$C$36,0)),0))</f>
        <v>0</v>
      </c>
      <c r="F49" s="24" t="str">
        <f>IF($A49="","",IFERROR(INDEX(Baarn!$A$4:$A$38,MATCH($A49,Baarn!$C$4:$C$38,0)),""))</f>
        <v/>
      </c>
      <c r="G49" s="15">
        <f>IF($A49="",0,IFERROR(INDEX(Baarn!$I$4:$I$38,MATCH($A49,Baarn!$C$4:$C$38,0)),0))</f>
        <v>0</v>
      </c>
      <c r="H49" s="24" t="str">
        <f>IF($A49="","",IFERROR(INDEX(Scherpenzeel!$A$4:$A$103,MATCH($A49,Scherpenzeel!$C$4:$C$103,0)),""))</f>
        <v/>
      </c>
      <c r="I49" s="15">
        <f>IF($A49="",0,IFERROR(INDEX(Scherpenzeel!$I$4:$I$103,MATCH($A49,Scherpenzeel!$C$4:$C$103,0)),0))</f>
        <v>0</v>
      </c>
      <c r="J49" s="24" t="str">
        <f>IF($A49="","",IFERROR(INDEX('4'!$A$4:$A$103,MATCH($A49,'4'!$C$4:$C$103,0)),""))</f>
        <v/>
      </c>
      <c r="K49" s="15">
        <f>IF($A49="",0,IFERROR(INDEX('4'!$I$4:$I$103,MATCH($A49,'4'!$C$4:$C$103,0)),0))</f>
        <v>0</v>
      </c>
      <c r="L49" s="24" t="str">
        <f>IF($A49="","",IFERROR(INDEX('5'!$A$4:$A$103,MATCH($A49,'5'!$C$4:$C$103,0)),""))</f>
        <v/>
      </c>
      <c r="M49" s="15">
        <f>IF($A49="",0,IFERROR(INDEX('5'!$I$4:$I$103,MATCH($A49,'5'!$C$4:$C$103,0)),0))</f>
        <v>0</v>
      </c>
      <c r="N49" s="25" t="str">
        <f t="shared" si="2"/>
        <v/>
      </c>
      <c r="O49" s="26" t="str">
        <f t="shared" si="3"/>
        <v/>
      </c>
      <c r="AA49" t="str">
        <f>IF(ISNUMBER(SEARCH("Junior",Baarn!E19)),Baarn!C19,"")</f>
        <v>Freek Valkonet</v>
      </c>
      <c r="AB49">
        <f>IF(AA49="",0,IF(COUNTIF($AA$1:AA49,AA49)=1,1,0))</f>
        <v>1</v>
      </c>
      <c r="AC49">
        <f>IF(AB49=1,COUNTIF($AB$1:AB49,1),"")</f>
        <v>10</v>
      </c>
    </row>
    <row r="50" spans="1:29" x14ac:dyDescent="0.25">
      <c r="A50" s="13" t="str">
        <f>IFERROR(INDEX($AA$1:$AA$368,MATCH(47,$AC$1:$AC$368,0)),"")</f>
        <v/>
      </c>
      <c r="B50" s="13" t="str">
        <f>IF($A50="","",IF(IFERROR(INDEX(Barneveld!$E$4:$E$36,MATCH($A50,Barneveld!$C$4:$C$36,0)),"")&lt;&gt;"",IFERROR(INDEX(Barneveld!$E$4:$E$36,MATCH($A50,Barneveld!$C$4:$C$36,0)),""),IF(IFERROR(INDEX(Baarn!$F$4:$F$38,MATCH($A50,Baarn!$C$4:$C$38,0)),"")&lt;&gt;"",IFERROR(INDEX(Baarn!$F$4:$F$38,MATCH($A50,Baarn!$C$4:$C$38,0)),""),IF(IFERROR(INDEX(Scherpenzeel!$F$4:$F$103,MATCH($A50,Scherpenzeel!$C$4:$C$103,0)),"")&lt;&gt;"",IFERROR(INDEX(Scherpenzeel!$F$4:$F$103,MATCH($A50,Scherpenzeel!$C$4:$C$103,0)),""),IF(IFERROR(INDEX('4'!$F$4:$F$103,MATCH($A50,'4'!$C$4:$C$103,0)),"")&lt;&gt;"",IFERROR(INDEX('4'!$F$4:$F$103,MATCH($A50,'4'!$C$4:$C$103,0)),""),IFERROR(INDEX('5'!$F$4:$F$103,MATCH($A50,'5'!$C$4:$C$103,0)),""))))))</f>
        <v/>
      </c>
      <c r="C50" s="13" t="str">
        <f>IF($A50="","",IF(IFERROR(INDEX(Barneveld!$D$4:$D$36,MATCH($A50,Barneveld!$C$4:$C$36,0)),"")&lt;&gt;"",IFERROR(INDEX(Barneveld!$D$4:$D$36,MATCH($A50,Barneveld!$C$4:$C$36,0)),""),IF(IFERROR(INDEX(Baarn!$E$4:$E$38,MATCH($A50,Baarn!$C$4:$C$38,0)),"")&lt;&gt;"",IFERROR(INDEX(Baarn!$E$4:$E$38,MATCH($A50,Baarn!$C$4:$C$38,0)),""),IF(IFERROR(INDEX(Scherpenzeel!$E$4:$E$103,MATCH($A50,Scherpenzeel!$C$4:$C$103,0)),"")&lt;&gt;"",IFERROR(INDEX(Scherpenzeel!$E$4:$E$103,MATCH($A50,Scherpenzeel!$C$4:$C$103,0)),""),IF(IFERROR(INDEX('4'!$E$4:$E$103,MATCH($A50,'4'!$C$4:$C$103,0)),"")&lt;&gt;"",IFERROR(INDEX('4'!$E$4:$E$103,MATCH($A50,'4'!$C$4:$C$103,0)),""),IFERROR(INDEX('5'!$E$4:$E$103,MATCH($A50,'5'!$C$4:$C$103,0)),""))))))</f>
        <v/>
      </c>
      <c r="D50" s="24" t="str">
        <f>IF($A50="","",IFERROR(INDEX(Barneveld!$A$4:$A$36,MATCH($A50,Barneveld!$C$4:$C$36,0)),""))</f>
        <v/>
      </c>
      <c r="E50" s="15">
        <f>IF($A50="",0,IFERROR(INDEX(Barneveld!$H$4:$H$36,MATCH($A50,Barneveld!$C$4:$C$36,0)),0))</f>
        <v>0</v>
      </c>
      <c r="F50" s="24" t="str">
        <f>IF($A50="","",IFERROR(INDEX(Baarn!$A$4:$A$38,MATCH($A50,Baarn!$C$4:$C$38,0)),""))</f>
        <v/>
      </c>
      <c r="G50" s="15">
        <f>IF($A50="",0,IFERROR(INDEX(Baarn!$I$4:$I$38,MATCH($A50,Baarn!$C$4:$C$38,0)),0))</f>
        <v>0</v>
      </c>
      <c r="H50" s="24" t="str">
        <f>IF($A50="","",IFERROR(INDEX(Scherpenzeel!$A$4:$A$103,MATCH($A50,Scherpenzeel!$C$4:$C$103,0)),""))</f>
        <v/>
      </c>
      <c r="I50" s="15">
        <f>IF($A50="",0,IFERROR(INDEX(Scherpenzeel!$I$4:$I$103,MATCH($A50,Scherpenzeel!$C$4:$C$103,0)),0))</f>
        <v>0</v>
      </c>
      <c r="J50" s="24" t="str">
        <f>IF($A50="","",IFERROR(INDEX('4'!$A$4:$A$103,MATCH($A50,'4'!$C$4:$C$103,0)),""))</f>
        <v/>
      </c>
      <c r="K50" s="15">
        <f>IF($A50="",0,IFERROR(INDEX('4'!$I$4:$I$103,MATCH($A50,'4'!$C$4:$C$103,0)),0))</f>
        <v>0</v>
      </c>
      <c r="L50" s="24" t="str">
        <f>IF($A50="","",IFERROR(INDEX('5'!$A$4:$A$103,MATCH($A50,'5'!$C$4:$C$103,0)),""))</f>
        <v/>
      </c>
      <c r="M50" s="15">
        <f>IF($A50="",0,IFERROR(INDEX('5'!$I$4:$I$103,MATCH($A50,'5'!$C$4:$C$103,0)),0))</f>
        <v>0</v>
      </c>
      <c r="N50" s="25" t="str">
        <f t="shared" si="2"/>
        <v/>
      </c>
      <c r="O50" s="26" t="str">
        <f t="shared" si="3"/>
        <v/>
      </c>
      <c r="AA50" t="str">
        <f>IF(ISNUMBER(SEARCH("Junior",Baarn!E20)),Baarn!C20,"")</f>
        <v/>
      </c>
      <c r="AB50">
        <f>IF(AA50="",0,IF(COUNTIF($AA$1:AA50,AA50)=1,1,0))</f>
        <v>0</v>
      </c>
      <c r="AC50" t="str">
        <f>IF(AB50=1,COUNTIF($AB$1:AB50,1),"")</f>
        <v/>
      </c>
    </row>
    <row r="51" spans="1:29" x14ac:dyDescent="0.25">
      <c r="A51" s="13" t="str">
        <f>IFERROR(INDEX($AA$1:$AA$368,MATCH(48,$AC$1:$AC$368,0)),"")</f>
        <v/>
      </c>
      <c r="B51" s="13" t="str">
        <f>IF($A51="","",IF(IFERROR(INDEX(Barneveld!$E$4:$E$36,MATCH($A51,Barneveld!$C$4:$C$36,0)),"")&lt;&gt;"",IFERROR(INDEX(Barneveld!$E$4:$E$36,MATCH($A51,Barneveld!$C$4:$C$36,0)),""),IF(IFERROR(INDEX(Baarn!$F$4:$F$38,MATCH($A51,Baarn!$C$4:$C$38,0)),"")&lt;&gt;"",IFERROR(INDEX(Baarn!$F$4:$F$38,MATCH($A51,Baarn!$C$4:$C$38,0)),""),IF(IFERROR(INDEX(Scherpenzeel!$F$4:$F$103,MATCH($A51,Scherpenzeel!$C$4:$C$103,0)),"")&lt;&gt;"",IFERROR(INDEX(Scherpenzeel!$F$4:$F$103,MATCH($A51,Scherpenzeel!$C$4:$C$103,0)),""),IF(IFERROR(INDEX('4'!$F$4:$F$103,MATCH($A51,'4'!$C$4:$C$103,0)),"")&lt;&gt;"",IFERROR(INDEX('4'!$F$4:$F$103,MATCH($A51,'4'!$C$4:$C$103,0)),""),IFERROR(INDEX('5'!$F$4:$F$103,MATCH($A51,'5'!$C$4:$C$103,0)),""))))))</f>
        <v/>
      </c>
      <c r="C51" s="13" t="str">
        <f>IF($A51="","",IF(IFERROR(INDEX(Barneveld!$D$4:$D$36,MATCH($A51,Barneveld!$C$4:$C$36,0)),"")&lt;&gt;"",IFERROR(INDEX(Barneveld!$D$4:$D$36,MATCH($A51,Barneveld!$C$4:$C$36,0)),""),IF(IFERROR(INDEX(Baarn!$E$4:$E$38,MATCH($A51,Baarn!$C$4:$C$38,0)),"")&lt;&gt;"",IFERROR(INDEX(Baarn!$E$4:$E$38,MATCH($A51,Baarn!$C$4:$C$38,0)),""),IF(IFERROR(INDEX(Scherpenzeel!$E$4:$E$103,MATCH($A51,Scherpenzeel!$C$4:$C$103,0)),"")&lt;&gt;"",IFERROR(INDEX(Scherpenzeel!$E$4:$E$103,MATCH($A51,Scherpenzeel!$C$4:$C$103,0)),""),IF(IFERROR(INDEX('4'!$E$4:$E$103,MATCH($A51,'4'!$C$4:$C$103,0)),"")&lt;&gt;"",IFERROR(INDEX('4'!$E$4:$E$103,MATCH($A51,'4'!$C$4:$C$103,0)),""),IFERROR(INDEX('5'!$E$4:$E$103,MATCH($A51,'5'!$C$4:$C$103,0)),""))))))</f>
        <v/>
      </c>
      <c r="D51" s="24" t="str">
        <f>IF($A51="","",IFERROR(INDEX(Barneveld!$A$4:$A$36,MATCH($A51,Barneveld!$C$4:$C$36,0)),""))</f>
        <v/>
      </c>
      <c r="E51" s="15">
        <f>IF($A51="",0,IFERROR(INDEX(Barneveld!$H$4:$H$36,MATCH($A51,Barneveld!$C$4:$C$36,0)),0))</f>
        <v>0</v>
      </c>
      <c r="F51" s="24" t="str">
        <f>IF($A51="","",IFERROR(INDEX(Baarn!$A$4:$A$38,MATCH($A51,Baarn!$C$4:$C$38,0)),""))</f>
        <v/>
      </c>
      <c r="G51" s="15">
        <f>IF($A51="",0,IFERROR(INDEX(Baarn!$I$4:$I$38,MATCH($A51,Baarn!$C$4:$C$38,0)),0))</f>
        <v>0</v>
      </c>
      <c r="H51" s="24" t="str">
        <f>IF($A51="","",IFERROR(INDEX(Scherpenzeel!$A$4:$A$103,MATCH($A51,Scherpenzeel!$C$4:$C$103,0)),""))</f>
        <v/>
      </c>
      <c r="I51" s="15">
        <f>IF($A51="",0,IFERROR(INDEX(Scherpenzeel!$I$4:$I$103,MATCH($A51,Scherpenzeel!$C$4:$C$103,0)),0))</f>
        <v>0</v>
      </c>
      <c r="J51" s="24" t="str">
        <f>IF($A51="","",IFERROR(INDEX('4'!$A$4:$A$103,MATCH($A51,'4'!$C$4:$C$103,0)),""))</f>
        <v/>
      </c>
      <c r="K51" s="15">
        <f>IF($A51="",0,IFERROR(INDEX('4'!$I$4:$I$103,MATCH($A51,'4'!$C$4:$C$103,0)),0))</f>
        <v>0</v>
      </c>
      <c r="L51" s="24" t="str">
        <f>IF($A51="","",IFERROR(INDEX('5'!$A$4:$A$103,MATCH($A51,'5'!$C$4:$C$103,0)),""))</f>
        <v/>
      </c>
      <c r="M51" s="15">
        <f>IF($A51="",0,IFERROR(INDEX('5'!$I$4:$I$103,MATCH($A51,'5'!$C$4:$C$103,0)),0))</f>
        <v>0</v>
      </c>
      <c r="N51" s="25" t="str">
        <f t="shared" si="2"/>
        <v/>
      </c>
      <c r="O51" s="26" t="str">
        <f t="shared" si="3"/>
        <v/>
      </c>
      <c r="AA51" t="str">
        <f>IF(ISNUMBER(SEARCH("Junior",Baarn!E21)),Baarn!C21,"")</f>
        <v/>
      </c>
      <c r="AB51">
        <f>IF(AA51="",0,IF(COUNTIF($AA$1:AA51,AA51)=1,1,0))</f>
        <v>0</v>
      </c>
      <c r="AC51" t="str">
        <f>IF(AB51=1,COUNTIF($AB$1:AB51,1),"")</f>
        <v/>
      </c>
    </row>
    <row r="52" spans="1:29" x14ac:dyDescent="0.25">
      <c r="A52" s="13" t="str">
        <f>IFERROR(INDEX($AA$1:$AA$368,MATCH(49,$AC$1:$AC$368,0)),"")</f>
        <v/>
      </c>
      <c r="B52" s="13" t="str">
        <f>IF($A52="","",IF(IFERROR(INDEX(Barneveld!$E$4:$E$36,MATCH($A52,Barneveld!$C$4:$C$36,0)),"")&lt;&gt;"",IFERROR(INDEX(Barneveld!$E$4:$E$36,MATCH($A52,Barneveld!$C$4:$C$36,0)),""),IF(IFERROR(INDEX(Baarn!$F$4:$F$38,MATCH($A52,Baarn!$C$4:$C$38,0)),"")&lt;&gt;"",IFERROR(INDEX(Baarn!$F$4:$F$38,MATCH($A52,Baarn!$C$4:$C$38,0)),""),IF(IFERROR(INDEX(Scherpenzeel!$F$4:$F$103,MATCH($A52,Scherpenzeel!$C$4:$C$103,0)),"")&lt;&gt;"",IFERROR(INDEX(Scherpenzeel!$F$4:$F$103,MATCH($A52,Scherpenzeel!$C$4:$C$103,0)),""),IF(IFERROR(INDEX('4'!$F$4:$F$103,MATCH($A52,'4'!$C$4:$C$103,0)),"")&lt;&gt;"",IFERROR(INDEX('4'!$F$4:$F$103,MATCH($A52,'4'!$C$4:$C$103,0)),""),IFERROR(INDEX('5'!$F$4:$F$103,MATCH($A52,'5'!$C$4:$C$103,0)),""))))))</f>
        <v/>
      </c>
      <c r="C52" s="13" t="str">
        <f>IF($A52="","",IF(IFERROR(INDEX(Barneveld!$D$4:$D$36,MATCH($A52,Barneveld!$C$4:$C$36,0)),"")&lt;&gt;"",IFERROR(INDEX(Barneveld!$D$4:$D$36,MATCH($A52,Barneveld!$C$4:$C$36,0)),""),IF(IFERROR(INDEX(Baarn!$E$4:$E$38,MATCH($A52,Baarn!$C$4:$C$38,0)),"")&lt;&gt;"",IFERROR(INDEX(Baarn!$E$4:$E$38,MATCH($A52,Baarn!$C$4:$C$38,0)),""),IF(IFERROR(INDEX(Scherpenzeel!$E$4:$E$103,MATCH($A52,Scherpenzeel!$C$4:$C$103,0)),"")&lt;&gt;"",IFERROR(INDEX(Scherpenzeel!$E$4:$E$103,MATCH($A52,Scherpenzeel!$C$4:$C$103,0)),""),IF(IFERROR(INDEX('4'!$E$4:$E$103,MATCH($A52,'4'!$C$4:$C$103,0)),"")&lt;&gt;"",IFERROR(INDEX('4'!$E$4:$E$103,MATCH($A52,'4'!$C$4:$C$103,0)),""),IFERROR(INDEX('5'!$E$4:$E$103,MATCH($A52,'5'!$C$4:$C$103,0)),""))))))</f>
        <v/>
      </c>
      <c r="D52" s="24" t="str">
        <f>IF($A52="","",IFERROR(INDEX(Barneveld!$A$4:$A$36,MATCH($A52,Barneveld!$C$4:$C$36,0)),""))</f>
        <v/>
      </c>
      <c r="E52" s="15">
        <f>IF($A52="",0,IFERROR(INDEX(Barneveld!$H$4:$H$36,MATCH($A52,Barneveld!$C$4:$C$36,0)),0))</f>
        <v>0</v>
      </c>
      <c r="F52" s="24" t="str">
        <f>IF($A52="","",IFERROR(INDEX(Baarn!$A$4:$A$38,MATCH($A52,Baarn!$C$4:$C$38,0)),""))</f>
        <v/>
      </c>
      <c r="G52" s="15">
        <f>IF($A52="",0,IFERROR(INDEX(Baarn!$I$4:$I$38,MATCH($A52,Baarn!$C$4:$C$38,0)),0))</f>
        <v>0</v>
      </c>
      <c r="H52" s="24" t="str">
        <f>IF($A52="","",IFERROR(INDEX(Scherpenzeel!$A$4:$A$103,MATCH($A52,Scherpenzeel!$C$4:$C$103,0)),""))</f>
        <v/>
      </c>
      <c r="I52" s="15">
        <f>IF($A52="",0,IFERROR(INDEX(Scherpenzeel!$I$4:$I$103,MATCH($A52,Scherpenzeel!$C$4:$C$103,0)),0))</f>
        <v>0</v>
      </c>
      <c r="J52" s="24" t="str">
        <f>IF($A52="","",IFERROR(INDEX('4'!$A$4:$A$103,MATCH($A52,'4'!$C$4:$C$103,0)),""))</f>
        <v/>
      </c>
      <c r="K52" s="15">
        <f>IF($A52="",0,IFERROR(INDEX('4'!$I$4:$I$103,MATCH($A52,'4'!$C$4:$C$103,0)),0))</f>
        <v>0</v>
      </c>
      <c r="L52" s="24" t="str">
        <f>IF($A52="","",IFERROR(INDEX('5'!$A$4:$A$103,MATCH($A52,'5'!$C$4:$C$103,0)),""))</f>
        <v/>
      </c>
      <c r="M52" s="15">
        <f>IF($A52="",0,IFERROR(INDEX('5'!$I$4:$I$103,MATCH($A52,'5'!$C$4:$C$103,0)),0))</f>
        <v>0</v>
      </c>
      <c r="N52" s="25" t="str">
        <f t="shared" si="2"/>
        <v/>
      </c>
      <c r="O52" s="26" t="str">
        <f t="shared" si="3"/>
        <v/>
      </c>
      <c r="AA52" t="str">
        <f>IF(ISNUMBER(SEARCH("Junior",Baarn!E22)),Baarn!C22,"")</f>
        <v>Mick de Rooij</v>
      </c>
      <c r="AB52">
        <f>IF(AA52="",0,IF(COUNTIF($AA$1:AA52,AA52)=1,1,0))</f>
        <v>1</v>
      </c>
      <c r="AC52">
        <f>IF(AB52=1,COUNTIF($AB$1:AB52,1),"")</f>
        <v>11</v>
      </c>
    </row>
    <row r="53" spans="1:29" x14ac:dyDescent="0.25">
      <c r="A53" s="13" t="str">
        <f>IFERROR(INDEX($AA$1:$AA$368,MATCH(50,$AC$1:$AC$368,0)),"")</f>
        <v/>
      </c>
      <c r="B53" s="13" t="str">
        <f>IF($A53="","",IF(IFERROR(INDEX(Barneveld!$E$4:$E$36,MATCH($A53,Barneveld!$C$4:$C$36,0)),"")&lt;&gt;"",IFERROR(INDEX(Barneveld!$E$4:$E$36,MATCH($A53,Barneveld!$C$4:$C$36,0)),""),IF(IFERROR(INDEX(Baarn!$F$4:$F$38,MATCH($A53,Baarn!$C$4:$C$38,0)),"")&lt;&gt;"",IFERROR(INDEX(Baarn!$F$4:$F$38,MATCH($A53,Baarn!$C$4:$C$38,0)),""),IF(IFERROR(INDEX(Scherpenzeel!$F$4:$F$103,MATCH($A53,Scherpenzeel!$C$4:$C$103,0)),"")&lt;&gt;"",IFERROR(INDEX(Scherpenzeel!$F$4:$F$103,MATCH($A53,Scherpenzeel!$C$4:$C$103,0)),""),IF(IFERROR(INDEX('4'!$F$4:$F$103,MATCH($A53,'4'!$C$4:$C$103,0)),"")&lt;&gt;"",IFERROR(INDEX('4'!$F$4:$F$103,MATCH($A53,'4'!$C$4:$C$103,0)),""),IFERROR(INDEX('5'!$F$4:$F$103,MATCH($A53,'5'!$C$4:$C$103,0)),""))))))</f>
        <v/>
      </c>
      <c r="C53" s="13" t="str">
        <f>IF($A53="","",IF(IFERROR(INDEX(Barneveld!$D$4:$D$36,MATCH($A53,Barneveld!$C$4:$C$36,0)),"")&lt;&gt;"",IFERROR(INDEX(Barneveld!$D$4:$D$36,MATCH($A53,Barneveld!$C$4:$C$36,0)),""),IF(IFERROR(INDEX(Baarn!$E$4:$E$38,MATCH($A53,Baarn!$C$4:$C$38,0)),"")&lt;&gt;"",IFERROR(INDEX(Baarn!$E$4:$E$38,MATCH($A53,Baarn!$C$4:$C$38,0)),""),IF(IFERROR(INDEX(Scherpenzeel!$E$4:$E$103,MATCH($A53,Scherpenzeel!$C$4:$C$103,0)),"")&lt;&gt;"",IFERROR(INDEX(Scherpenzeel!$E$4:$E$103,MATCH($A53,Scherpenzeel!$C$4:$C$103,0)),""),IF(IFERROR(INDEX('4'!$E$4:$E$103,MATCH($A53,'4'!$C$4:$C$103,0)),"")&lt;&gt;"",IFERROR(INDEX('4'!$E$4:$E$103,MATCH($A53,'4'!$C$4:$C$103,0)),""),IFERROR(INDEX('5'!$E$4:$E$103,MATCH($A53,'5'!$C$4:$C$103,0)),""))))))</f>
        <v/>
      </c>
      <c r="D53" s="24" t="str">
        <f>IF($A53="","",IFERROR(INDEX(Barneveld!$A$4:$A$36,MATCH($A53,Barneveld!$C$4:$C$36,0)),""))</f>
        <v/>
      </c>
      <c r="E53" s="15">
        <f>IF($A53="",0,IFERROR(INDEX(Barneveld!$H$4:$H$36,MATCH($A53,Barneveld!$C$4:$C$36,0)),0))</f>
        <v>0</v>
      </c>
      <c r="F53" s="24" t="str">
        <f>IF($A53="","",IFERROR(INDEX(Baarn!$A$4:$A$38,MATCH($A53,Baarn!$C$4:$C$38,0)),""))</f>
        <v/>
      </c>
      <c r="G53" s="15">
        <f>IF($A53="",0,IFERROR(INDEX(Baarn!$I$4:$I$38,MATCH($A53,Baarn!$C$4:$C$38,0)),0))</f>
        <v>0</v>
      </c>
      <c r="H53" s="24" t="str">
        <f>IF($A53="","",IFERROR(INDEX(Scherpenzeel!$A$4:$A$103,MATCH($A53,Scherpenzeel!$C$4:$C$103,0)),""))</f>
        <v/>
      </c>
      <c r="I53" s="15">
        <f>IF($A53="",0,IFERROR(INDEX(Scherpenzeel!$I$4:$I$103,MATCH($A53,Scherpenzeel!$C$4:$C$103,0)),0))</f>
        <v>0</v>
      </c>
      <c r="J53" s="24" t="str">
        <f>IF($A53="","",IFERROR(INDEX('4'!$A$4:$A$103,MATCH($A53,'4'!$C$4:$C$103,0)),""))</f>
        <v/>
      </c>
      <c r="K53" s="15">
        <f>IF($A53="",0,IFERROR(INDEX('4'!$I$4:$I$103,MATCH($A53,'4'!$C$4:$C$103,0)),0))</f>
        <v>0</v>
      </c>
      <c r="L53" s="24" t="str">
        <f>IF($A53="","",IFERROR(INDEX('5'!$A$4:$A$103,MATCH($A53,'5'!$C$4:$C$103,0)),""))</f>
        <v/>
      </c>
      <c r="M53" s="15">
        <f>IF($A53="",0,IFERROR(INDEX('5'!$I$4:$I$103,MATCH($A53,'5'!$C$4:$C$103,0)),0))</f>
        <v>0</v>
      </c>
      <c r="N53" s="25" t="str">
        <f t="shared" si="2"/>
        <v/>
      </c>
      <c r="O53" s="26" t="str">
        <f t="shared" si="3"/>
        <v/>
      </c>
      <c r="AA53" t="str">
        <f>IF(ISNUMBER(SEARCH("Junior",Baarn!E23)),Baarn!C23,"")</f>
        <v/>
      </c>
      <c r="AB53">
        <f>IF(AA53="",0,IF(COUNTIF($AA$1:AA53,AA53)=1,1,0))</f>
        <v>0</v>
      </c>
      <c r="AC53" t="str">
        <f>IF(AB53=1,COUNTIF($AB$1:AB53,1),"")</f>
        <v/>
      </c>
    </row>
    <row r="54" spans="1:29" x14ac:dyDescent="0.25">
      <c r="A54" s="13" t="str">
        <f>IFERROR(INDEX($AA$1:$AA$368,MATCH(51,$AC$1:$AC$368,0)),"")</f>
        <v/>
      </c>
      <c r="B54" s="13" t="str">
        <f>IF($A54="","",IF(IFERROR(INDEX(Barneveld!$E$4:$E$36,MATCH($A54,Barneveld!$C$4:$C$36,0)),"")&lt;&gt;"",IFERROR(INDEX(Barneveld!$E$4:$E$36,MATCH($A54,Barneveld!$C$4:$C$36,0)),""),IF(IFERROR(INDEX(Baarn!$F$4:$F$38,MATCH($A54,Baarn!$C$4:$C$38,0)),"")&lt;&gt;"",IFERROR(INDEX(Baarn!$F$4:$F$38,MATCH($A54,Baarn!$C$4:$C$38,0)),""),IF(IFERROR(INDEX(Scherpenzeel!$F$4:$F$103,MATCH($A54,Scherpenzeel!$C$4:$C$103,0)),"")&lt;&gt;"",IFERROR(INDEX(Scherpenzeel!$F$4:$F$103,MATCH($A54,Scherpenzeel!$C$4:$C$103,0)),""),IF(IFERROR(INDEX('4'!$F$4:$F$103,MATCH($A54,'4'!$C$4:$C$103,0)),"")&lt;&gt;"",IFERROR(INDEX('4'!$F$4:$F$103,MATCH($A54,'4'!$C$4:$C$103,0)),""),IFERROR(INDEX('5'!$F$4:$F$103,MATCH($A54,'5'!$C$4:$C$103,0)),""))))))</f>
        <v/>
      </c>
      <c r="C54" s="13" t="str">
        <f>IF($A54="","",IF(IFERROR(INDEX(Barneveld!$D$4:$D$36,MATCH($A54,Barneveld!$C$4:$C$36,0)),"")&lt;&gt;"",IFERROR(INDEX(Barneveld!$D$4:$D$36,MATCH($A54,Barneveld!$C$4:$C$36,0)),""),IF(IFERROR(INDEX(Baarn!$E$4:$E$38,MATCH($A54,Baarn!$C$4:$C$38,0)),"")&lt;&gt;"",IFERROR(INDEX(Baarn!$E$4:$E$38,MATCH($A54,Baarn!$C$4:$C$38,0)),""),IF(IFERROR(INDEX(Scherpenzeel!$E$4:$E$103,MATCH($A54,Scherpenzeel!$C$4:$C$103,0)),"")&lt;&gt;"",IFERROR(INDEX(Scherpenzeel!$E$4:$E$103,MATCH($A54,Scherpenzeel!$C$4:$C$103,0)),""),IF(IFERROR(INDEX('4'!$E$4:$E$103,MATCH($A54,'4'!$C$4:$C$103,0)),"")&lt;&gt;"",IFERROR(INDEX('4'!$E$4:$E$103,MATCH($A54,'4'!$C$4:$C$103,0)),""),IFERROR(INDEX('5'!$E$4:$E$103,MATCH($A54,'5'!$C$4:$C$103,0)),""))))))</f>
        <v/>
      </c>
      <c r="D54" s="24" t="str">
        <f>IF($A54="","",IFERROR(INDEX(Barneveld!$A$4:$A$36,MATCH($A54,Barneveld!$C$4:$C$36,0)),""))</f>
        <v/>
      </c>
      <c r="E54" s="15">
        <f>IF($A54="",0,IFERROR(INDEX(Barneveld!$H$4:$H$36,MATCH($A54,Barneveld!$C$4:$C$36,0)),0))</f>
        <v>0</v>
      </c>
      <c r="F54" s="24" t="str">
        <f>IF($A54="","",IFERROR(INDEX(Baarn!$A$4:$A$38,MATCH($A54,Baarn!$C$4:$C$38,0)),""))</f>
        <v/>
      </c>
      <c r="G54" s="15">
        <f>IF($A54="",0,IFERROR(INDEX(Baarn!$I$4:$I$38,MATCH($A54,Baarn!$C$4:$C$38,0)),0))</f>
        <v>0</v>
      </c>
      <c r="H54" s="24" t="str">
        <f>IF($A54="","",IFERROR(INDEX(Scherpenzeel!$A$4:$A$103,MATCH($A54,Scherpenzeel!$C$4:$C$103,0)),""))</f>
        <v/>
      </c>
      <c r="I54" s="15">
        <f>IF($A54="",0,IFERROR(INDEX(Scherpenzeel!$I$4:$I$103,MATCH($A54,Scherpenzeel!$C$4:$C$103,0)),0))</f>
        <v>0</v>
      </c>
      <c r="J54" s="24" t="str">
        <f>IF($A54="","",IFERROR(INDEX('4'!$A$4:$A$103,MATCH($A54,'4'!$C$4:$C$103,0)),""))</f>
        <v/>
      </c>
      <c r="K54" s="15">
        <f>IF($A54="",0,IFERROR(INDEX('4'!$I$4:$I$103,MATCH($A54,'4'!$C$4:$C$103,0)),0))</f>
        <v>0</v>
      </c>
      <c r="L54" s="24" t="str">
        <f>IF($A54="","",IFERROR(INDEX('5'!$A$4:$A$103,MATCH($A54,'5'!$C$4:$C$103,0)),""))</f>
        <v/>
      </c>
      <c r="M54" s="15">
        <f>IF($A54="",0,IFERROR(INDEX('5'!$I$4:$I$103,MATCH($A54,'5'!$C$4:$C$103,0)),0))</f>
        <v>0</v>
      </c>
      <c r="N54" s="25" t="str">
        <f t="shared" si="2"/>
        <v/>
      </c>
      <c r="O54" s="26" t="str">
        <f t="shared" si="3"/>
        <v/>
      </c>
      <c r="AA54" t="str">
        <f>IF(ISNUMBER(SEARCH("Junior",Baarn!E24)),Baarn!C24,"")</f>
        <v>Rens Thomassen</v>
      </c>
      <c r="AB54">
        <f>IF(AA54="",0,IF(COUNTIF($AA$1:AA54,AA54)=1,1,0))</f>
        <v>1</v>
      </c>
      <c r="AC54">
        <f>IF(AB54=1,COUNTIF($AB$1:AB54,1),"")</f>
        <v>12</v>
      </c>
    </row>
    <row r="55" spans="1:29" x14ac:dyDescent="0.25">
      <c r="A55" s="13" t="str">
        <f>IFERROR(INDEX($AA$1:$AA$368,MATCH(52,$AC$1:$AC$368,0)),"")</f>
        <v/>
      </c>
      <c r="B55" s="13" t="str">
        <f>IF($A55="","",IF(IFERROR(INDEX(Barneveld!$E$4:$E$36,MATCH($A55,Barneveld!$C$4:$C$36,0)),"")&lt;&gt;"",IFERROR(INDEX(Barneveld!$E$4:$E$36,MATCH($A55,Barneveld!$C$4:$C$36,0)),""),IF(IFERROR(INDEX(Baarn!$F$4:$F$38,MATCH($A55,Baarn!$C$4:$C$38,0)),"")&lt;&gt;"",IFERROR(INDEX(Baarn!$F$4:$F$38,MATCH($A55,Baarn!$C$4:$C$38,0)),""),IF(IFERROR(INDEX(Scherpenzeel!$F$4:$F$103,MATCH($A55,Scherpenzeel!$C$4:$C$103,0)),"")&lt;&gt;"",IFERROR(INDEX(Scherpenzeel!$F$4:$F$103,MATCH($A55,Scherpenzeel!$C$4:$C$103,0)),""),IF(IFERROR(INDEX('4'!$F$4:$F$103,MATCH($A55,'4'!$C$4:$C$103,0)),"")&lt;&gt;"",IFERROR(INDEX('4'!$F$4:$F$103,MATCH($A55,'4'!$C$4:$C$103,0)),""),IFERROR(INDEX('5'!$F$4:$F$103,MATCH($A55,'5'!$C$4:$C$103,0)),""))))))</f>
        <v/>
      </c>
      <c r="C55" s="13" t="str">
        <f>IF($A55="","",IF(IFERROR(INDEX(Barneveld!$D$4:$D$36,MATCH($A55,Barneveld!$C$4:$C$36,0)),"")&lt;&gt;"",IFERROR(INDEX(Barneveld!$D$4:$D$36,MATCH($A55,Barneveld!$C$4:$C$36,0)),""),IF(IFERROR(INDEX(Baarn!$E$4:$E$38,MATCH($A55,Baarn!$C$4:$C$38,0)),"")&lt;&gt;"",IFERROR(INDEX(Baarn!$E$4:$E$38,MATCH($A55,Baarn!$C$4:$C$38,0)),""),IF(IFERROR(INDEX(Scherpenzeel!$E$4:$E$103,MATCH($A55,Scherpenzeel!$C$4:$C$103,0)),"")&lt;&gt;"",IFERROR(INDEX(Scherpenzeel!$E$4:$E$103,MATCH($A55,Scherpenzeel!$C$4:$C$103,0)),""),IF(IFERROR(INDEX('4'!$E$4:$E$103,MATCH($A55,'4'!$C$4:$C$103,0)),"")&lt;&gt;"",IFERROR(INDEX('4'!$E$4:$E$103,MATCH($A55,'4'!$C$4:$C$103,0)),""),IFERROR(INDEX('5'!$E$4:$E$103,MATCH($A55,'5'!$C$4:$C$103,0)),""))))))</f>
        <v/>
      </c>
      <c r="D55" s="24" t="str">
        <f>IF($A55="","",IFERROR(INDEX(Barneveld!$A$4:$A$36,MATCH($A55,Barneveld!$C$4:$C$36,0)),""))</f>
        <v/>
      </c>
      <c r="E55" s="15">
        <f>IF($A55="",0,IFERROR(INDEX(Barneveld!$H$4:$H$36,MATCH($A55,Barneveld!$C$4:$C$36,0)),0))</f>
        <v>0</v>
      </c>
      <c r="F55" s="24" t="str">
        <f>IF($A55="","",IFERROR(INDEX(Baarn!$A$4:$A$38,MATCH($A55,Baarn!$C$4:$C$38,0)),""))</f>
        <v/>
      </c>
      <c r="G55" s="15">
        <f>IF($A55="",0,IFERROR(INDEX(Baarn!$I$4:$I$38,MATCH($A55,Baarn!$C$4:$C$38,0)),0))</f>
        <v>0</v>
      </c>
      <c r="H55" s="24" t="str">
        <f>IF($A55="","",IFERROR(INDEX(Scherpenzeel!$A$4:$A$103,MATCH($A55,Scherpenzeel!$C$4:$C$103,0)),""))</f>
        <v/>
      </c>
      <c r="I55" s="15">
        <f>IF($A55="",0,IFERROR(INDEX(Scherpenzeel!$I$4:$I$103,MATCH($A55,Scherpenzeel!$C$4:$C$103,0)),0))</f>
        <v>0</v>
      </c>
      <c r="J55" s="24" t="str">
        <f>IF($A55="","",IFERROR(INDEX('4'!$A$4:$A$103,MATCH($A55,'4'!$C$4:$C$103,0)),""))</f>
        <v/>
      </c>
      <c r="K55" s="15">
        <f>IF($A55="",0,IFERROR(INDEX('4'!$I$4:$I$103,MATCH($A55,'4'!$C$4:$C$103,0)),0))</f>
        <v>0</v>
      </c>
      <c r="L55" s="24" t="str">
        <f>IF($A55="","",IFERROR(INDEX('5'!$A$4:$A$103,MATCH($A55,'5'!$C$4:$C$103,0)),""))</f>
        <v/>
      </c>
      <c r="M55" s="15">
        <f>IF($A55="",0,IFERROR(INDEX('5'!$I$4:$I$103,MATCH($A55,'5'!$C$4:$C$103,0)),0))</f>
        <v>0</v>
      </c>
      <c r="N55" s="25" t="str">
        <f t="shared" si="2"/>
        <v/>
      </c>
      <c r="O55" s="26" t="str">
        <f t="shared" si="3"/>
        <v/>
      </c>
      <c r="AA55" t="str">
        <f>IF(ISNUMBER(SEARCH("Junior",Baarn!E25)),Baarn!C25,"")</f>
        <v>Julian Dingemans</v>
      </c>
      <c r="AB55">
        <f>IF(AA55="",0,IF(COUNTIF($AA$1:AA55,AA55)=1,1,0))</f>
        <v>0</v>
      </c>
      <c r="AC55" t="str">
        <f>IF(AB55=1,COUNTIF($AB$1:AB55,1),"")</f>
        <v/>
      </c>
    </row>
    <row r="56" spans="1:29" x14ac:dyDescent="0.25">
      <c r="A56" s="13" t="str">
        <f>IFERROR(INDEX($AA$1:$AA$368,MATCH(53,$AC$1:$AC$368,0)),"")</f>
        <v/>
      </c>
      <c r="B56" s="13" t="str">
        <f>IF($A56="","",IF(IFERROR(INDEX(Barneveld!$E$4:$E$36,MATCH($A56,Barneveld!$C$4:$C$36,0)),"")&lt;&gt;"",IFERROR(INDEX(Barneveld!$E$4:$E$36,MATCH($A56,Barneveld!$C$4:$C$36,0)),""),IF(IFERROR(INDEX(Baarn!$F$4:$F$38,MATCH($A56,Baarn!$C$4:$C$38,0)),"")&lt;&gt;"",IFERROR(INDEX(Baarn!$F$4:$F$38,MATCH($A56,Baarn!$C$4:$C$38,0)),""),IF(IFERROR(INDEX(Scherpenzeel!$F$4:$F$103,MATCH($A56,Scherpenzeel!$C$4:$C$103,0)),"")&lt;&gt;"",IFERROR(INDEX(Scherpenzeel!$F$4:$F$103,MATCH($A56,Scherpenzeel!$C$4:$C$103,0)),""),IF(IFERROR(INDEX('4'!$F$4:$F$103,MATCH($A56,'4'!$C$4:$C$103,0)),"")&lt;&gt;"",IFERROR(INDEX('4'!$F$4:$F$103,MATCH($A56,'4'!$C$4:$C$103,0)),""),IFERROR(INDEX('5'!$F$4:$F$103,MATCH($A56,'5'!$C$4:$C$103,0)),""))))))</f>
        <v/>
      </c>
      <c r="C56" s="13" t="str">
        <f>IF($A56="","",IF(IFERROR(INDEX(Barneveld!$D$4:$D$36,MATCH($A56,Barneveld!$C$4:$C$36,0)),"")&lt;&gt;"",IFERROR(INDEX(Barneveld!$D$4:$D$36,MATCH($A56,Barneveld!$C$4:$C$36,0)),""),IF(IFERROR(INDEX(Baarn!$E$4:$E$38,MATCH($A56,Baarn!$C$4:$C$38,0)),"")&lt;&gt;"",IFERROR(INDEX(Baarn!$E$4:$E$38,MATCH($A56,Baarn!$C$4:$C$38,0)),""),IF(IFERROR(INDEX(Scherpenzeel!$E$4:$E$103,MATCH($A56,Scherpenzeel!$C$4:$C$103,0)),"")&lt;&gt;"",IFERROR(INDEX(Scherpenzeel!$E$4:$E$103,MATCH($A56,Scherpenzeel!$C$4:$C$103,0)),""),IF(IFERROR(INDEX('4'!$E$4:$E$103,MATCH($A56,'4'!$C$4:$C$103,0)),"")&lt;&gt;"",IFERROR(INDEX('4'!$E$4:$E$103,MATCH($A56,'4'!$C$4:$C$103,0)),""),IFERROR(INDEX('5'!$E$4:$E$103,MATCH($A56,'5'!$C$4:$C$103,0)),""))))))</f>
        <v/>
      </c>
      <c r="D56" s="24" t="str">
        <f>IF($A56="","",IFERROR(INDEX(Barneveld!$A$4:$A$36,MATCH($A56,Barneveld!$C$4:$C$36,0)),""))</f>
        <v/>
      </c>
      <c r="E56" s="15">
        <f>IF($A56="",0,IFERROR(INDEX(Barneveld!$H$4:$H$36,MATCH($A56,Barneveld!$C$4:$C$36,0)),0))</f>
        <v>0</v>
      </c>
      <c r="F56" s="24" t="str">
        <f>IF($A56="","",IFERROR(INDEX(Baarn!$A$4:$A$38,MATCH($A56,Baarn!$C$4:$C$38,0)),""))</f>
        <v/>
      </c>
      <c r="G56" s="15">
        <f>IF($A56="",0,IFERROR(INDEX(Baarn!$I$4:$I$38,MATCH($A56,Baarn!$C$4:$C$38,0)),0))</f>
        <v>0</v>
      </c>
      <c r="H56" s="24" t="str">
        <f>IF($A56="","",IFERROR(INDEX(Scherpenzeel!$A$4:$A$103,MATCH($A56,Scherpenzeel!$C$4:$C$103,0)),""))</f>
        <v/>
      </c>
      <c r="I56" s="15">
        <f>IF($A56="",0,IFERROR(INDEX(Scherpenzeel!$I$4:$I$103,MATCH($A56,Scherpenzeel!$C$4:$C$103,0)),0))</f>
        <v>0</v>
      </c>
      <c r="J56" s="24" t="str">
        <f>IF($A56="","",IFERROR(INDEX('4'!$A$4:$A$103,MATCH($A56,'4'!$C$4:$C$103,0)),""))</f>
        <v/>
      </c>
      <c r="K56" s="15">
        <f>IF($A56="",0,IFERROR(INDEX('4'!$I$4:$I$103,MATCH($A56,'4'!$C$4:$C$103,0)),0))</f>
        <v>0</v>
      </c>
      <c r="L56" s="24" t="str">
        <f>IF($A56="","",IFERROR(INDEX('5'!$A$4:$A$103,MATCH($A56,'5'!$C$4:$C$103,0)),""))</f>
        <v/>
      </c>
      <c r="M56" s="15">
        <f>IF($A56="",0,IFERROR(INDEX('5'!$I$4:$I$103,MATCH($A56,'5'!$C$4:$C$103,0)),0))</f>
        <v>0</v>
      </c>
      <c r="N56" s="25" t="str">
        <f t="shared" si="2"/>
        <v/>
      </c>
      <c r="O56" s="26" t="str">
        <f t="shared" si="3"/>
        <v/>
      </c>
      <c r="AA56" t="str">
        <f>IF(ISNUMBER(SEARCH("Junior",Baarn!E26)),Baarn!C26,"")</f>
        <v>Deon Bergwerff</v>
      </c>
      <c r="AB56">
        <f>IF(AA56="",0,IF(COUNTIF($AA$1:AA56,AA56)=1,1,0))</f>
        <v>0</v>
      </c>
      <c r="AC56" t="str">
        <f>IF(AB56=1,COUNTIF($AB$1:AB56,1),"")</f>
        <v/>
      </c>
    </row>
    <row r="57" spans="1:29" x14ac:dyDescent="0.25">
      <c r="A57" s="13" t="str">
        <f>IFERROR(INDEX($AA$1:$AA$368,MATCH(54,$AC$1:$AC$368,0)),"")</f>
        <v/>
      </c>
      <c r="B57" s="13" t="str">
        <f>IF($A57="","",IF(IFERROR(INDEX(Barneveld!$E$4:$E$36,MATCH($A57,Barneveld!$C$4:$C$36,0)),"")&lt;&gt;"",IFERROR(INDEX(Barneveld!$E$4:$E$36,MATCH($A57,Barneveld!$C$4:$C$36,0)),""),IF(IFERROR(INDEX(Baarn!$F$4:$F$38,MATCH($A57,Baarn!$C$4:$C$38,0)),"")&lt;&gt;"",IFERROR(INDEX(Baarn!$F$4:$F$38,MATCH($A57,Baarn!$C$4:$C$38,0)),""),IF(IFERROR(INDEX(Scherpenzeel!$F$4:$F$103,MATCH($A57,Scherpenzeel!$C$4:$C$103,0)),"")&lt;&gt;"",IFERROR(INDEX(Scherpenzeel!$F$4:$F$103,MATCH($A57,Scherpenzeel!$C$4:$C$103,0)),""),IF(IFERROR(INDEX('4'!$F$4:$F$103,MATCH($A57,'4'!$C$4:$C$103,0)),"")&lt;&gt;"",IFERROR(INDEX('4'!$F$4:$F$103,MATCH($A57,'4'!$C$4:$C$103,0)),""),IFERROR(INDEX('5'!$F$4:$F$103,MATCH($A57,'5'!$C$4:$C$103,0)),""))))))</f>
        <v/>
      </c>
      <c r="C57" s="13" t="str">
        <f>IF($A57="","",IF(IFERROR(INDEX(Barneveld!$D$4:$D$36,MATCH($A57,Barneveld!$C$4:$C$36,0)),"")&lt;&gt;"",IFERROR(INDEX(Barneveld!$D$4:$D$36,MATCH($A57,Barneveld!$C$4:$C$36,0)),""),IF(IFERROR(INDEX(Baarn!$E$4:$E$38,MATCH($A57,Baarn!$C$4:$C$38,0)),"")&lt;&gt;"",IFERROR(INDEX(Baarn!$E$4:$E$38,MATCH($A57,Baarn!$C$4:$C$38,0)),""),IF(IFERROR(INDEX(Scherpenzeel!$E$4:$E$103,MATCH($A57,Scherpenzeel!$C$4:$C$103,0)),"")&lt;&gt;"",IFERROR(INDEX(Scherpenzeel!$E$4:$E$103,MATCH($A57,Scherpenzeel!$C$4:$C$103,0)),""),IF(IFERROR(INDEX('4'!$E$4:$E$103,MATCH($A57,'4'!$C$4:$C$103,0)),"")&lt;&gt;"",IFERROR(INDEX('4'!$E$4:$E$103,MATCH($A57,'4'!$C$4:$C$103,0)),""),IFERROR(INDEX('5'!$E$4:$E$103,MATCH($A57,'5'!$C$4:$C$103,0)),""))))))</f>
        <v/>
      </c>
      <c r="D57" s="24" t="str">
        <f>IF($A57="","",IFERROR(INDEX(Barneveld!$A$4:$A$36,MATCH($A57,Barneveld!$C$4:$C$36,0)),""))</f>
        <v/>
      </c>
      <c r="E57" s="15">
        <f>IF($A57="",0,IFERROR(INDEX(Barneveld!$H$4:$H$36,MATCH($A57,Barneveld!$C$4:$C$36,0)),0))</f>
        <v>0</v>
      </c>
      <c r="F57" s="24" t="str">
        <f>IF($A57="","",IFERROR(INDEX(Baarn!$A$4:$A$38,MATCH($A57,Baarn!$C$4:$C$38,0)),""))</f>
        <v/>
      </c>
      <c r="G57" s="15">
        <f>IF($A57="",0,IFERROR(INDEX(Baarn!$I$4:$I$38,MATCH($A57,Baarn!$C$4:$C$38,0)),0))</f>
        <v>0</v>
      </c>
      <c r="H57" s="24" t="str">
        <f>IF($A57="","",IFERROR(INDEX(Scherpenzeel!$A$4:$A$103,MATCH($A57,Scherpenzeel!$C$4:$C$103,0)),""))</f>
        <v/>
      </c>
      <c r="I57" s="15">
        <f>IF($A57="",0,IFERROR(INDEX(Scherpenzeel!$I$4:$I$103,MATCH($A57,Scherpenzeel!$C$4:$C$103,0)),0))</f>
        <v>0</v>
      </c>
      <c r="J57" s="24" t="str">
        <f>IF($A57="","",IFERROR(INDEX('4'!$A$4:$A$103,MATCH($A57,'4'!$C$4:$C$103,0)),""))</f>
        <v/>
      </c>
      <c r="K57" s="15">
        <f>IF($A57="",0,IFERROR(INDEX('4'!$I$4:$I$103,MATCH($A57,'4'!$C$4:$C$103,0)),0))</f>
        <v>0</v>
      </c>
      <c r="L57" s="24" t="str">
        <f>IF($A57="","",IFERROR(INDEX('5'!$A$4:$A$103,MATCH($A57,'5'!$C$4:$C$103,0)),""))</f>
        <v/>
      </c>
      <c r="M57" s="15">
        <f>IF($A57="",0,IFERROR(INDEX('5'!$I$4:$I$103,MATCH($A57,'5'!$C$4:$C$103,0)),0))</f>
        <v>0</v>
      </c>
      <c r="N57" s="25" t="str">
        <f t="shared" si="2"/>
        <v/>
      </c>
      <c r="O57" s="26" t="str">
        <f t="shared" si="3"/>
        <v/>
      </c>
      <c r="AA57" t="str">
        <f>IF(ISNUMBER(SEARCH("Junior",Baarn!E27)),Baarn!C27,"")</f>
        <v>Pim Jansen</v>
      </c>
      <c r="AB57">
        <f>IF(AA57="",0,IF(COUNTIF($AA$1:AA57,AA57)=1,1,0))</f>
        <v>1</v>
      </c>
      <c r="AC57">
        <f>IF(AB57=1,COUNTIF($AB$1:AB57,1),"")</f>
        <v>13</v>
      </c>
    </row>
    <row r="58" spans="1:29" x14ac:dyDescent="0.25">
      <c r="A58" s="13" t="str">
        <f>IFERROR(INDEX($AA$1:$AA$368,MATCH(55,$AC$1:$AC$368,0)),"")</f>
        <v/>
      </c>
      <c r="B58" s="13" t="str">
        <f>IF($A58="","",IF(IFERROR(INDEX(Barneveld!$E$4:$E$36,MATCH($A58,Barneveld!$C$4:$C$36,0)),"")&lt;&gt;"",IFERROR(INDEX(Barneveld!$E$4:$E$36,MATCH($A58,Barneveld!$C$4:$C$36,0)),""),IF(IFERROR(INDEX(Baarn!$F$4:$F$38,MATCH($A58,Baarn!$C$4:$C$38,0)),"")&lt;&gt;"",IFERROR(INDEX(Baarn!$F$4:$F$38,MATCH($A58,Baarn!$C$4:$C$38,0)),""),IF(IFERROR(INDEX(Scherpenzeel!$F$4:$F$103,MATCH($A58,Scherpenzeel!$C$4:$C$103,0)),"")&lt;&gt;"",IFERROR(INDEX(Scherpenzeel!$F$4:$F$103,MATCH($A58,Scherpenzeel!$C$4:$C$103,0)),""),IF(IFERROR(INDEX('4'!$F$4:$F$103,MATCH($A58,'4'!$C$4:$C$103,0)),"")&lt;&gt;"",IFERROR(INDEX('4'!$F$4:$F$103,MATCH($A58,'4'!$C$4:$C$103,0)),""),IFERROR(INDEX('5'!$F$4:$F$103,MATCH($A58,'5'!$C$4:$C$103,0)),""))))))</f>
        <v/>
      </c>
      <c r="C58" s="13" t="str">
        <f>IF($A58="","",IF(IFERROR(INDEX(Barneveld!$D$4:$D$36,MATCH($A58,Barneveld!$C$4:$C$36,0)),"")&lt;&gt;"",IFERROR(INDEX(Barneveld!$D$4:$D$36,MATCH($A58,Barneveld!$C$4:$C$36,0)),""),IF(IFERROR(INDEX(Baarn!$E$4:$E$38,MATCH($A58,Baarn!$C$4:$C$38,0)),"")&lt;&gt;"",IFERROR(INDEX(Baarn!$E$4:$E$38,MATCH($A58,Baarn!$C$4:$C$38,0)),""),IF(IFERROR(INDEX(Scherpenzeel!$E$4:$E$103,MATCH($A58,Scherpenzeel!$C$4:$C$103,0)),"")&lt;&gt;"",IFERROR(INDEX(Scherpenzeel!$E$4:$E$103,MATCH($A58,Scherpenzeel!$C$4:$C$103,0)),""),IF(IFERROR(INDEX('4'!$E$4:$E$103,MATCH($A58,'4'!$C$4:$C$103,0)),"")&lt;&gt;"",IFERROR(INDEX('4'!$E$4:$E$103,MATCH($A58,'4'!$C$4:$C$103,0)),""),IFERROR(INDEX('5'!$E$4:$E$103,MATCH($A58,'5'!$C$4:$C$103,0)),""))))))</f>
        <v/>
      </c>
      <c r="D58" s="24" t="str">
        <f>IF($A58="","",IFERROR(INDEX(Barneveld!$A$4:$A$36,MATCH($A58,Barneveld!$C$4:$C$36,0)),""))</f>
        <v/>
      </c>
      <c r="E58" s="15">
        <f>IF($A58="",0,IFERROR(INDEX(Barneveld!$H$4:$H$36,MATCH($A58,Barneveld!$C$4:$C$36,0)),0))</f>
        <v>0</v>
      </c>
      <c r="F58" s="24" t="str">
        <f>IF($A58="","",IFERROR(INDEX(Baarn!$A$4:$A$38,MATCH($A58,Baarn!$C$4:$C$38,0)),""))</f>
        <v/>
      </c>
      <c r="G58" s="15">
        <f>IF($A58="",0,IFERROR(INDEX(Baarn!$I$4:$I$38,MATCH($A58,Baarn!$C$4:$C$38,0)),0))</f>
        <v>0</v>
      </c>
      <c r="H58" s="24" t="str">
        <f>IF($A58="","",IFERROR(INDEX(Scherpenzeel!$A$4:$A$103,MATCH($A58,Scherpenzeel!$C$4:$C$103,0)),""))</f>
        <v/>
      </c>
      <c r="I58" s="15">
        <f>IF($A58="",0,IFERROR(INDEX(Scherpenzeel!$I$4:$I$103,MATCH($A58,Scherpenzeel!$C$4:$C$103,0)),0))</f>
        <v>0</v>
      </c>
      <c r="J58" s="24" t="str">
        <f>IF($A58="","",IFERROR(INDEX('4'!$A$4:$A$103,MATCH($A58,'4'!$C$4:$C$103,0)),""))</f>
        <v/>
      </c>
      <c r="K58" s="15">
        <f>IF($A58="",0,IFERROR(INDEX('4'!$I$4:$I$103,MATCH($A58,'4'!$C$4:$C$103,0)),0))</f>
        <v>0</v>
      </c>
      <c r="L58" s="24" t="str">
        <f>IF($A58="","",IFERROR(INDEX('5'!$A$4:$A$103,MATCH($A58,'5'!$C$4:$C$103,0)),""))</f>
        <v/>
      </c>
      <c r="M58" s="15">
        <f>IF($A58="",0,IFERROR(INDEX('5'!$I$4:$I$103,MATCH($A58,'5'!$C$4:$C$103,0)),0))</f>
        <v>0</v>
      </c>
      <c r="N58" s="25" t="str">
        <f t="shared" si="2"/>
        <v/>
      </c>
      <c r="O58" s="26" t="str">
        <f t="shared" si="3"/>
        <v/>
      </c>
      <c r="AA58" t="str">
        <f>IF(ISNUMBER(SEARCH("Junior",Baarn!E28)),Baarn!C28,"")</f>
        <v/>
      </c>
      <c r="AB58">
        <f>IF(AA58="",0,IF(COUNTIF($AA$1:AA58,AA58)=1,1,0))</f>
        <v>0</v>
      </c>
      <c r="AC58" t="str">
        <f>IF(AB58=1,COUNTIF($AB$1:AB58,1),"")</f>
        <v/>
      </c>
    </row>
    <row r="59" spans="1:29" x14ac:dyDescent="0.25">
      <c r="A59" s="13" t="str">
        <f>IFERROR(INDEX($AA$1:$AA$368,MATCH(56,$AC$1:$AC$368,0)),"")</f>
        <v/>
      </c>
      <c r="B59" s="13" t="str">
        <f>IF($A59="","",IF(IFERROR(INDEX(Barneveld!$E$4:$E$36,MATCH($A59,Barneveld!$C$4:$C$36,0)),"")&lt;&gt;"",IFERROR(INDEX(Barneveld!$E$4:$E$36,MATCH($A59,Barneveld!$C$4:$C$36,0)),""),IF(IFERROR(INDEX(Baarn!$F$4:$F$38,MATCH($A59,Baarn!$C$4:$C$38,0)),"")&lt;&gt;"",IFERROR(INDEX(Baarn!$F$4:$F$38,MATCH($A59,Baarn!$C$4:$C$38,0)),""),IF(IFERROR(INDEX(Scherpenzeel!$F$4:$F$103,MATCH($A59,Scherpenzeel!$C$4:$C$103,0)),"")&lt;&gt;"",IFERROR(INDEX(Scherpenzeel!$F$4:$F$103,MATCH($A59,Scherpenzeel!$C$4:$C$103,0)),""),IF(IFERROR(INDEX('4'!$F$4:$F$103,MATCH($A59,'4'!$C$4:$C$103,0)),"")&lt;&gt;"",IFERROR(INDEX('4'!$F$4:$F$103,MATCH($A59,'4'!$C$4:$C$103,0)),""),IFERROR(INDEX('5'!$F$4:$F$103,MATCH($A59,'5'!$C$4:$C$103,0)),""))))))</f>
        <v/>
      </c>
      <c r="C59" s="13" t="str">
        <f>IF($A59="","",IF(IFERROR(INDEX(Barneveld!$D$4:$D$36,MATCH($A59,Barneveld!$C$4:$C$36,0)),"")&lt;&gt;"",IFERROR(INDEX(Barneveld!$D$4:$D$36,MATCH($A59,Barneveld!$C$4:$C$36,0)),""),IF(IFERROR(INDEX(Baarn!$E$4:$E$38,MATCH($A59,Baarn!$C$4:$C$38,0)),"")&lt;&gt;"",IFERROR(INDEX(Baarn!$E$4:$E$38,MATCH($A59,Baarn!$C$4:$C$38,0)),""),IF(IFERROR(INDEX(Scherpenzeel!$E$4:$E$103,MATCH($A59,Scherpenzeel!$C$4:$C$103,0)),"")&lt;&gt;"",IFERROR(INDEX(Scherpenzeel!$E$4:$E$103,MATCH($A59,Scherpenzeel!$C$4:$C$103,0)),""),IF(IFERROR(INDEX('4'!$E$4:$E$103,MATCH($A59,'4'!$C$4:$C$103,0)),"")&lt;&gt;"",IFERROR(INDEX('4'!$E$4:$E$103,MATCH($A59,'4'!$C$4:$C$103,0)),""),IFERROR(INDEX('5'!$E$4:$E$103,MATCH($A59,'5'!$C$4:$C$103,0)),""))))))</f>
        <v/>
      </c>
      <c r="D59" s="24" t="str">
        <f>IF($A59="","",IFERROR(INDEX(Barneveld!$A$4:$A$36,MATCH($A59,Barneveld!$C$4:$C$36,0)),""))</f>
        <v/>
      </c>
      <c r="E59" s="15">
        <f>IF($A59="",0,IFERROR(INDEX(Barneveld!$H$4:$H$36,MATCH($A59,Barneveld!$C$4:$C$36,0)),0))</f>
        <v>0</v>
      </c>
      <c r="F59" s="24" t="str">
        <f>IF($A59="","",IFERROR(INDEX(Baarn!$A$4:$A$38,MATCH($A59,Baarn!$C$4:$C$38,0)),""))</f>
        <v/>
      </c>
      <c r="G59" s="15">
        <f>IF($A59="",0,IFERROR(INDEX(Baarn!$I$4:$I$38,MATCH($A59,Baarn!$C$4:$C$38,0)),0))</f>
        <v>0</v>
      </c>
      <c r="H59" s="24" t="str">
        <f>IF($A59="","",IFERROR(INDEX(Scherpenzeel!$A$4:$A$103,MATCH($A59,Scherpenzeel!$C$4:$C$103,0)),""))</f>
        <v/>
      </c>
      <c r="I59" s="15">
        <f>IF($A59="",0,IFERROR(INDEX(Scherpenzeel!$I$4:$I$103,MATCH($A59,Scherpenzeel!$C$4:$C$103,0)),0))</f>
        <v>0</v>
      </c>
      <c r="J59" s="24" t="str">
        <f>IF($A59="","",IFERROR(INDEX('4'!$A$4:$A$103,MATCH($A59,'4'!$C$4:$C$103,0)),""))</f>
        <v/>
      </c>
      <c r="K59" s="15">
        <f>IF($A59="",0,IFERROR(INDEX('4'!$I$4:$I$103,MATCH($A59,'4'!$C$4:$C$103,0)),0))</f>
        <v>0</v>
      </c>
      <c r="L59" s="24" t="str">
        <f>IF($A59="","",IFERROR(INDEX('5'!$A$4:$A$103,MATCH($A59,'5'!$C$4:$C$103,0)),""))</f>
        <v/>
      </c>
      <c r="M59" s="15">
        <f>IF($A59="",0,IFERROR(INDEX('5'!$I$4:$I$103,MATCH($A59,'5'!$C$4:$C$103,0)),0))</f>
        <v>0</v>
      </c>
      <c r="N59" s="25" t="str">
        <f t="shared" si="2"/>
        <v/>
      </c>
      <c r="O59" s="26" t="str">
        <f t="shared" si="3"/>
        <v/>
      </c>
      <c r="AA59" t="str">
        <f>IF(ISNUMBER(SEARCH("Junior",Baarn!E29)),Baarn!C29,"")</f>
        <v/>
      </c>
      <c r="AB59">
        <f>IF(AA59="",0,IF(COUNTIF($AA$1:AA59,AA59)=1,1,0))</f>
        <v>0</v>
      </c>
      <c r="AC59" t="str">
        <f>IF(AB59=1,COUNTIF($AB$1:AB59,1),"")</f>
        <v/>
      </c>
    </row>
    <row r="60" spans="1:29" x14ac:dyDescent="0.25">
      <c r="A60" s="13" t="str">
        <f>IFERROR(INDEX($AA$1:$AA$368,MATCH(57,$AC$1:$AC$368,0)),"")</f>
        <v/>
      </c>
      <c r="B60" s="13" t="str">
        <f>IF($A60="","",IF(IFERROR(INDEX(Barneveld!$E$4:$E$36,MATCH($A60,Barneveld!$C$4:$C$36,0)),"")&lt;&gt;"",IFERROR(INDEX(Barneveld!$E$4:$E$36,MATCH($A60,Barneveld!$C$4:$C$36,0)),""),IF(IFERROR(INDEX(Baarn!$F$4:$F$38,MATCH($A60,Baarn!$C$4:$C$38,0)),"")&lt;&gt;"",IFERROR(INDEX(Baarn!$F$4:$F$38,MATCH($A60,Baarn!$C$4:$C$38,0)),""),IF(IFERROR(INDEX(Scherpenzeel!$F$4:$F$103,MATCH($A60,Scherpenzeel!$C$4:$C$103,0)),"")&lt;&gt;"",IFERROR(INDEX(Scherpenzeel!$F$4:$F$103,MATCH($A60,Scherpenzeel!$C$4:$C$103,0)),""),IF(IFERROR(INDEX('4'!$F$4:$F$103,MATCH($A60,'4'!$C$4:$C$103,0)),"")&lt;&gt;"",IFERROR(INDEX('4'!$F$4:$F$103,MATCH($A60,'4'!$C$4:$C$103,0)),""),IFERROR(INDEX('5'!$F$4:$F$103,MATCH($A60,'5'!$C$4:$C$103,0)),""))))))</f>
        <v/>
      </c>
      <c r="C60" s="13" t="str">
        <f>IF($A60="","",IF(IFERROR(INDEX(Barneveld!$D$4:$D$36,MATCH($A60,Barneveld!$C$4:$C$36,0)),"")&lt;&gt;"",IFERROR(INDEX(Barneveld!$D$4:$D$36,MATCH($A60,Barneveld!$C$4:$C$36,0)),""),IF(IFERROR(INDEX(Baarn!$E$4:$E$38,MATCH($A60,Baarn!$C$4:$C$38,0)),"")&lt;&gt;"",IFERROR(INDEX(Baarn!$E$4:$E$38,MATCH($A60,Baarn!$C$4:$C$38,0)),""),IF(IFERROR(INDEX(Scherpenzeel!$E$4:$E$103,MATCH($A60,Scherpenzeel!$C$4:$C$103,0)),"")&lt;&gt;"",IFERROR(INDEX(Scherpenzeel!$E$4:$E$103,MATCH($A60,Scherpenzeel!$C$4:$C$103,0)),""),IF(IFERROR(INDEX('4'!$E$4:$E$103,MATCH($A60,'4'!$C$4:$C$103,0)),"")&lt;&gt;"",IFERROR(INDEX('4'!$E$4:$E$103,MATCH($A60,'4'!$C$4:$C$103,0)),""),IFERROR(INDEX('5'!$E$4:$E$103,MATCH($A60,'5'!$C$4:$C$103,0)),""))))))</f>
        <v/>
      </c>
      <c r="D60" s="24" t="str">
        <f>IF($A60="","",IFERROR(INDEX(Barneveld!$A$4:$A$36,MATCH($A60,Barneveld!$C$4:$C$36,0)),""))</f>
        <v/>
      </c>
      <c r="E60" s="15">
        <f>IF($A60="",0,IFERROR(INDEX(Barneveld!$H$4:$H$36,MATCH($A60,Barneveld!$C$4:$C$36,0)),0))</f>
        <v>0</v>
      </c>
      <c r="F60" s="24" t="str">
        <f>IF($A60="","",IFERROR(INDEX(Baarn!$A$4:$A$38,MATCH($A60,Baarn!$C$4:$C$38,0)),""))</f>
        <v/>
      </c>
      <c r="G60" s="15">
        <f>IF($A60="",0,IFERROR(INDEX(Baarn!$I$4:$I$38,MATCH($A60,Baarn!$C$4:$C$38,0)),0))</f>
        <v>0</v>
      </c>
      <c r="H60" s="24" t="str">
        <f>IF($A60="","",IFERROR(INDEX(Scherpenzeel!$A$4:$A$103,MATCH($A60,Scherpenzeel!$C$4:$C$103,0)),""))</f>
        <v/>
      </c>
      <c r="I60" s="15">
        <f>IF($A60="",0,IFERROR(INDEX(Scherpenzeel!$I$4:$I$103,MATCH($A60,Scherpenzeel!$C$4:$C$103,0)),0))</f>
        <v>0</v>
      </c>
      <c r="J60" s="24" t="str">
        <f>IF($A60="","",IFERROR(INDEX('4'!$A$4:$A$103,MATCH($A60,'4'!$C$4:$C$103,0)),""))</f>
        <v/>
      </c>
      <c r="K60" s="15">
        <f>IF($A60="",0,IFERROR(INDEX('4'!$I$4:$I$103,MATCH($A60,'4'!$C$4:$C$103,0)),0))</f>
        <v>0</v>
      </c>
      <c r="L60" s="24" t="str">
        <f>IF($A60="","",IFERROR(INDEX('5'!$A$4:$A$103,MATCH($A60,'5'!$C$4:$C$103,0)),""))</f>
        <v/>
      </c>
      <c r="M60" s="15">
        <f>IF($A60="",0,IFERROR(INDEX('5'!$I$4:$I$103,MATCH($A60,'5'!$C$4:$C$103,0)),0))</f>
        <v>0</v>
      </c>
      <c r="N60" s="25" t="str">
        <f t="shared" si="2"/>
        <v/>
      </c>
      <c r="O60" s="26" t="str">
        <f t="shared" si="3"/>
        <v/>
      </c>
      <c r="AA60" t="str">
        <f>IF(ISNUMBER(SEARCH("Junior",Baarn!E30)),Baarn!C30,"")</f>
        <v/>
      </c>
      <c r="AB60">
        <f>IF(AA60="",0,IF(COUNTIF($AA$1:AA60,AA60)=1,1,0))</f>
        <v>0</v>
      </c>
      <c r="AC60" t="str">
        <f>IF(AB60=1,COUNTIF($AB$1:AB60,1),"")</f>
        <v/>
      </c>
    </row>
    <row r="61" spans="1:29" x14ac:dyDescent="0.25">
      <c r="A61" s="13" t="str">
        <f>IFERROR(INDEX($AA$1:$AA$368,MATCH(58,$AC$1:$AC$368,0)),"")</f>
        <v/>
      </c>
      <c r="B61" s="13" t="str">
        <f>IF($A61="","",IF(IFERROR(INDEX(Barneveld!$E$4:$E$36,MATCH($A61,Barneveld!$C$4:$C$36,0)),"")&lt;&gt;"",IFERROR(INDEX(Barneveld!$E$4:$E$36,MATCH($A61,Barneveld!$C$4:$C$36,0)),""),IF(IFERROR(INDEX(Baarn!$F$4:$F$38,MATCH($A61,Baarn!$C$4:$C$38,0)),"")&lt;&gt;"",IFERROR(INDEX(Baarn!$F$4:$F$38,MATCH($A61,Baarn!$C$4:$C$38,0)),""),IF(IFERROR(INDEX(Scherpenzeel!$F$4:$F$103,MATCH($A61,Scherpenzeel!$C$4:$C$103,0)),"")&lt;&gt;"",IFERROR(INDEX(Scherpenzeel!$F$4:$F$103,MATCH($A61,Scherpenzeel!$C$4:$C$103,0)),""),IF(IFERROR(INDEX('4'!$F$4:$F$103,MATCH($A61,'4'!$C$4:$C$103,0)),"")&lt;&gt;"",IFERROR(INDEX('4'!$F$4:$F$103,MATCH($A61,'4'!$C$4:$C$103,0)),""),IFERROR(INDEX('5'!$F$4:$F$103,MATCH($A61,'5'!$C$4:$C$103,0)),""))))))</f>
        <v/>
      </c>
      <c r="C61" s="13" t="str">
        <f>IF($A61="","",IF(IFERROR(INDEX(Barneveld!$D$4:$D$36,MATCH($A61,Barneveld!$C$4:$C$36,0)),"")&lt;&gt;"",IFERROR(INDEX(Barneveld!$D$4:$D$36,MATCH($A61,Barneveld!$C$4:$C$36,0)),""),IF(IFERROR(INDEX(Baarn!$E$4:$E$38,MATCH($A61,Baarn!$C$4:$C$38,0)),"")&lt;&gt;"",IFERROR(INDEX(Baarn!$E$4:$E$38,MATCH($A61,Baarn!$C$4:$C$38,0)),""),IF(IFERROR(INDEX(Scherpenzeel!$E$4:$E$103,MATCH($A61,Scherpenzeel!$C$4:$C$103,0)),"")&lt;&gt;"",IFERROR(INDEX(Scherpenzeel!$E$4:$E$103,MATCH($A61,Scherpenzeel!$C$4:$C$103,0)),""),IF(IFERROR(INDEX('4'!$E$4:$E$103,MATCH($A61,'4'!$C$4:$C$103,0)),"")&lt;&gt;"",IFERROR(INDEX('4'!$E$4:$E$103,MATCH($A61,'4'!$C$4:$C$103,0)),""),IFERROR(INDEX('5'!$E$4:$E$103,MATCH($A61,'5'!$C$4:$C$103,0)),""))))))</f>
        <v/>
      </c>
      <c r="D61" s="24" t="str">
        <f>IF($A61="","",IFERROR(INDEX(Barneveld!$A$4:$A$36,MATCH($A61,Barneveld!$C$4:$C$36,0)),""))</f>
        <v/>
      </c>
      <c r="E61" s="15">
        <f>IF($A61="",0,IFERROR(INDEX(Barneveld!$H$4:$H$36,MATCH($A61,Barneveld!$C$4:$C$36,0)),0))</f>
        <v>0</v>
      </c>
      <c r="F61" s="24" t="str">
        <f>IF($A61="","",IFERROR(INDEX(Baarn!$A$4:$A$38,MATCH($A61,Baarn!$C$4:$C$38,0)),""))</f>
        <v/>
      </c>
      <c r="G61" s="15">
        <f>IF($A61="",0,IFERROR(INDEX(Baarn!$I$4:$I$38,MATCH($A61,Baarn!$C$4:$C$38,0)),0))</f>
        <v>0</v>
      </c>
      <c r="H61" s="24" t="str">
        <f>IF($A61="","",IFERROR(INDEX(Scherpenzeel!$A$4:$A$103,MATCH($A61,Scherpenzeel!$C$4:$C$103,0)),""))</f>
        <v/>
      </c>
      <c r="I61" s="15">
        <f>IF($A61="",0,IFERROR(INDEX(Scherpenzeel!$I$4:$I$103,MATCH($A61,Scherpenzeel!$C$4:$C$103,0)),0))</f>
        <v>0</v>
      </c>
      <c r="J61" s="24" t="str">
        <f>IF($A61="","",IFERROR(INDEX('4'!$A$4:$A$103,MATCH($A61,'4'!$C$4:$C$103,0)),""))</f>
        <v/>
      </c>
      <c r="K61" s="15">
        <f>IF($A61="",0,IFERROR(INDEX('4'!$I$4:$I$103,MATCH($A61,'4'!$C$4:$C$103,0)),0))</f>
        <v>0</v>
      </c>
      <c r="L61" s="24" t="str">
        <f>IF($A61="","",IFERROR(INDEX('5'!$A$4:$A$103,MATCH($A61,'5'!$C$4:$C$103,0)),""))</f>
        <v/>
      </c>
      <c r="M61" s="15">
        <f>IF($A61="",0,IFERROR(INDEX('5'!$I$4:$I$103,MATCH($A61,'5'!$C$4:$C$103,0)),0))</f>
        <v>0</v>
      </c>
      <c r="N61" s="25" t="str">
        <f t="shared" si="2"/>
        <v/>
      </c>
      <c r="O61" s="26" t="str">
        <f t="shared" si="3"/>
        <v/>
      </c>
      <c r="AA61" t="str">
        <f>IF(ISNUMBER(SEARCH("Junior",Baarn!E31)),Baarn!C31,"")</f>
        <v/>
      </c>
      <c r="AB61">
        <f>IF(AA61="",0,IF(COUNTIF($AA$1:AA61,AA61)=1,1,0))</f>
        <v>0</v>
      </c>
      <c r="AC61" t="str">
        <f>IF(AB61=1,COUNTIF($AB$1:AB61,1),"")</f>
        <v/>
      </c>
    </row>
    <row r="62" spans="1:29" x14ac:dyDescent="0.25">
      <c r="A62" s="13" t="str">
        <f>IFERROR(INDEX($AA$1:$AA$368,MATCH(59,$AC$1:$AC$368,0)),"")</f>
        <v/>
      </c>
      <c r="B62" s="13" t="str">
        <f>IF($A62="","",IF(IFERROR(INDEX(Barneveld!$E$4:$E$36,MATCH($A62,Barneveld!$C$4:$C$36,0)),"")&lt;&gt;"",IFERROR(INDEX(Barneveld!$E$4:$E$36,MATCH($A62,Barneveld!$C$4:$C$36,0)),""),IF(IFERROR(INDEX(Baarn!$F$4:$F$38,MATCH($A62,Baarn!$C$4:$C$38,0)),"")&lt;&gt;"",IFERROR(INDEX(Baarn!$F$4:$F$38,MATCH($A62,Baarn!$C$4:$C$38,0)),""),IF(IFERROR(INDEX(Scherpenzeel!$F$4:$F$103,MATCH($A62,Scherpenzeel!$C$4:$C$103,0)),"")&lt;&gt;"",IFERROR(INDEX(Scherpenzeel!$F$4:$F$103,MATCH($A62,Scherpenzeel!$C$4:$C$103,0)),""),IF(IFERROR(INDEX('4'!$F$4:$F$103,MATCH($A62,'4'!$C$4:$C$103,0)),"")&lt;&gt;"",IFERROR(INDEX('4'!$F$4:$F$103,MATCH($A62,'4'!$C$4:$C$103,0)),""),IFERROR(INDEX('5'!$F$4:$F$103,MATCH($A62,'5'!$C$4:$C$103,0)),""))))))</f>
        <v/>
      </c>
      <c r="C62" s="13" t="str">
        <f>IF($A62="","",IF(IFERROR(INDEX(Barneveld!$D$4:$D$36,MATCH($A62,Barneveld!$C$4:$C$36,0)),"")&lt;&gt;"",IFERROR(INDEX(Barneveld!$D$4:$D$36,MATCH($A62,Barneveld!$C$4:$C$36,0)),""),IF(IFERROR(INDEX(Baarn!$E$4:$E$38,MATCH($A62,Baarn!$C$4:$C$38,0)),"")&lt;&gt;"",IFERROR(INDEX(Baarn!$E$4:$E$38,MATCH($A62,Baarn!$C$4:$C$38,0)),""),IF(IFERROR(INDEX(Scherpenzeel!$E$4:$E$103,MATCH($A62,Scherpenzeel!$C$4:$C$103,0)),"")&lt;&gt;"",IFERROR(INDEX(Scherpenzeel!$E$4:$E$103,MATCH($A62,Scherpenzeel!$C$4:$C$103,0)),""),IF(IFERROR(INDEX('4'!$E$4:$E$103,MATCH($A62,'4'!$C$4:$C$103,0)),"")&lt;&gt;"",IFERROR(INDEX('4'!$E$4:$E$103,MATCH($A62,'4'!$C$4:$C$103,0)),""),IFERROR(INDEX('5'!$E$4:$E$103,MATCH($A62,'5'!$C$4:$C$103,0)),""))))))</f>
        <v/>
      </c>
      <c r="D62" s="24" t="str">
        <f>IF($A62="","",IFERROR(INDEX(Barneveld!$A$4:$A$36,MATCH($A62,Barneveld!$C$4:$C$36,0)),""))</f>
        <v/>
      </c>
      <c r="E62" s="15">
        <f>IF($A62="",0,IFERROR(INDEX(Barneveld!$H$4:$H$36,MATCH($A62,Barneveld!$C$4:$C$36,0)),0))</f>
        <v>0</v>
      </c>
      <c r="F62" s="24" t="str">
        <f>IF($A62="","",IFERROR(INDEX(Baarn!$A$4:$A$38,MATCH($A62,Baarn!$C$4:$C$38,0)),""))</f>
        <v/>
      </c>
      <c r="G62" s="15">
        <f>IF($A62="",0,IFERROR(INDEX(Baarn!$I$4:$I$38,MATCH($A62,Baarn!$C$4:$C$38,0)),0))</f>
        <v>0</v>
      </c>
      <c r="H62" s="24" t="str">
        <f>IF($A62="","",IFERROR(INDEX(Scherpenzeel!$A$4:$A$103,MATCH($A62,Scherpenzeel!$C$4:$C$103,0)),""))</f>
        <v/>
      </c>
      <c r="I62" s="15">
        <f>IF($A62="",0,IFERROR(INDEX(Scherpenzeel!$I$4:$I$103,MATCH($A62,Scherpenzeel!$C$4:$C$103,0)),0))</f>
        <v>0</v>
      </c>
      <c r="J62" s="24" t="str">
        <f>IF($A62="","",IFERROR(INDEX('4'!$A$4:$A$103,MATCH($A62,'4'!$C$4:$C$103,0)),""))</f>
        <v/>
      </c>
      <c r="K62" s="15">
        <f>IF($A62="",0,IFERROR(INDEX('4'!$I$4:$I$103,MATCH($A62,'4'!$C$4:$C$103,0)),0))</f>
        <v>0</v>
      </c>
      <c r="L62" s="24" t="str">
        <f>IF($A62="","",IFERROR(INDEX('5'!$A$4:$A$103,MATCH($A62,'5'!$C$4:$C$103,0)),""))</f>
        <v/>
      </c>
      <c r="M62" s="15">
        <f>IF($A62="",0,IFERROR(INDEX('5'!$I$4:$I$103,MATCH($A62,'5'!$C$4:$C$103,0)),0))</f>
        <v>0</v>
      </c>
      <c r="N62" s="25" t="str">
        <f t="shared" si="2"/>
        <v/>
      </c>
      <c r="O62" s="26" t="str">
        <f t="shared" si="3"/>
        <v/>
      </c>
      <c r="AA62" t="str">
        <f>IF(ISNUMBER(SEARCH("Junior",Baarn!E32)),Baarn!C32,"")</f>
        <v/>
      </c>
      <c r="AB62">
        <f>IF(AA62="",0,IF(COUNTIF($AA$1:AA62,AA62)=1,1,0))</f>
        <v>0</v>
      </c>
      <c r="AC62" t="str">
        <f>IF(AB62=1,COUNTIF($AB$1:AB62,1),"")</f>
        <v/>
      </c>
    </row>
    <row r="63" spans="1:29" x14ac:dyDescent="0.25">
      <c r="A63" s="13" t="str">
        <f>IFERROR(INDEX($AA$1:$AA$368,MATCH(60,$AC$1:$AC$368,0)),"")</f>
        <v/>
      </c>
      <c r="B63" s="13" t="str">
        <f>IF($A63="","",IF(IFERROR(INDEX(Barneveld!$E$4:$E$36,MATCH($A63,Barneveld!$C$4:$C$36,0)),"")&lt;&gt;"",IFERROR(INDEX(Barneveld!$E$4:$E$36,MATCH($A63,Barneveld!$C$4:$C$36,0)),""),IF(IFERROR(INDEX(Baarn!$F$4:$F$38,MATCH($A63,Baarn!$C$4:$C$38,0)),"")&lt;&gt;"",IFERROR(INDEX(Baarn!$F$4:$F$38,MATCH($A63,Baarn!$C$4:$C$38,0)),""),IF(IFERROR(INDEX(Scherpenzeel!$F$4:$F$103,MATCH($A63,Scherpenzeel!$C$4:$C$103,0)),"")&lt;&gt;"",IFERROR(INDEX(Scherpenzeel!$F$4:$F$103,MATCH($A63,Scherpenzeel!$C$4:$C$103,0)),""),IF(IFERROR(INDEX('4'!$F$4:$F$103,MATCH($A63,'4'!$C$4:$C$103,0)),"")&lt;&gt;"",IFERROR(INDEX('4'!$F$4:$F$103,MATCH($A63,'4'!$C$4:$C$103,0)),""),IFERROR(INDEX('5'!$F$4:$F$103,MATCH($A63,'5'!$C$4:$C$103,0)),""))))))</f>
        <v/>
      </c>
      <c r="C63" s="13" t="str">
        <f>IF($A63="","",IF(IFERROR(INDEX(Barneveld!$D$4:$D$36,MATCH($A63,Barneveld!$C$4:$C$36,0)),"")&lt;&gt;"",IFERROR(INDEX(Barneveld!$D$4:$D$36,MATCH($A63,Barneveld!$C$4:$C$36,0)),""),IF(IFERROR(INDEX(Baarn!$E$4:$E$38,MATCH($A63,Baarn!$C$4:$C$38,0)),"")&lt;&gt;"",IFERROR(INDEX(Baarn!$E$4:$E$38,MATCH($A63,Baarn!$C$4:$C$38,0)),""),IF(IFERROR(INDEX(Scherpenzeel!$E$4:$E$103,MATCH($A63,Scherpenzeel!$C$4:$C$103,0)),"")&lt;&gt;"",IFERROR(INDEX(Scherpenzeel!$E$4:$E$103,MATCH($A63,Scherpenzeel!$C$4:$C$103,0)),""),IF(IFERROR(INDEX('4'!$E$4:$E$103,MATCH($A63,'4'!$C$4:$C$103,0)),"")&lt;&gt;"",IFERROR(INDEX('4'!$E$4:$E$103,MATCH($A63,'4'!$C$4:$C$103,0)),""),IFERROR(INDEX('5'!$E$4:$E$103,MATCH($A63,'5'!$C$4:$C$103,0)),""))))))</f>
        <v/>
      </c>
      <c r="D63" s="24" t="str">
        <f>IF($A63="","",IFERROR(INDEX(Barneveld!$A$4:$A$36,MATCH($A63,Barneveld!$C$4:$C$36,0)),""))</f>
        <v/>
      </c>
      <c r="E63" s="15">
        <f>IF($A63="",0,IFERROR(INDEX(Barneveld!$H$4:$H$36,MATCH($A63,Barneveld!$C$4:$C$36,0)),0))</f>
        <v>0</v>
      </c>
      <c r="F63" s="24" t="str">
        <f>IF($A63="","",IFERROR(INDEX(Baarn!$A$4:$A$38,MATCH($A63,Baarn!$C$4:$C$38,0)),""))</f>
        <v/>
      </c>
      <c r="G63" s="15">
        <f>IF($A63="",0,IFERROR(INDEX(Baarn!$I$4:$I$38,MATCH($A63,Baarn!$C$4:$C$38,0)),0))</f>
        <v>0</v>
      </c>
      <c r="H63" s="24" t="str">
        <f>IF($A63="","",IFERROR(INDEX(Scherpenzeel!$A$4:$A$103,MATCH($A63,Scherpenzeel!$C$4:$C$103,0)),""))</f>
        <v/>
      </c>
      <c r="I63" s="15">
        <f>IF($A63="",0,IFERROR(INDEX(Scherpenzeel!$I$4:$I$103,MATCH($A63,Scherpenzeel!$C$4:$C$103,0)),0))</f>
        <v>0</v>
      </c>
      <c r="J63" s="24" t="str">
        <f>IF($A63="","",IFERROR(INDEX('4'!$A$4:$A$103,MATCH($A63,'4'!$C$4:$C$103,0)),""))</f>
        <v/>
      </c>
      <c r="K63" s="15">
        <f>IF($A63="",0,IFERROR(INDEX('4'!$I$4:$I$103,MATCH($A63,'4'!$C$4:$C$103,0)),0))</f>
        <v>0</v>
      </c>
      <c r="L63" s="24" t="str">
        <f>IF($A63="","",IFERROR(INDEX('5'!$A$4:$A$103,MATCH($A63,'5'!$C$4:$C$103,0)),""))</f>
        <v/>
      </c>
      <c r="M63" s="15">
        <f>IF($A63="",0,IFERROR(INDEX('5'!$I$4:$I$103,MATCH($A63,'5'!$C$4:$C$103,0)),0))</f>
        <v>0</v>
      </c>
      <c r="N63" s="25" t="str">
        <f t="shared" si="2"/>
        <v/>
      </c>
      <c r="O63" s="26" t="str">
        <f t="shared" si="3"/>
        <v/>
      </c>
      <c r="AA63" t="str">
        <f>IF(ISNUMBER(SEARCH("Junior",Baarn!E33)),Baarn!C33,"")</f>
        <v/>
      </c>
      <c r="AB63">
        <f>IF(AA63="",0,IF(COUNTIF($AA$1:AA63,AA63)=1,1,0))</f>
        <v>0</v>
      </c>
      <c r="AC63" t="str">
        <f>IF(AB63=1,COUNTIF($AB$1:AB63,1),"")</f>
        <v/>
      </c>
    </row>
    <row r="64" spans="1:29" x14ac:dyDescent="0.25">
      <c r="A64" s="13" t="str">
        <f>IFERROR(INDEX($AA$1:$AA$368,MATCH(61,$AC$1:$AC$368,0)),"")</f>
        <v/>
      </c>
      <c r="B64" s="13" t="str">
        <f>IF($A64="","",IF(IFERROR(INDEX(Barneveld!$E$4:$E$36,MATCH($A64,Barneveld!$C$4:$C$36,0)),"")&lt;&gt;"",IFERROR(INDEX(Barneveld!$E$4:$E$36,MATCH($A64,Barneveld!$C$4:$C$36,0)),""),IF(IFERROR(INDEX(Baarn!$F$4:$F$38,MATCH($A64,Baarn!$C$4:$C$38,0)),"")&lt;&gt;"",IFERROR(INDEX(Baarn!$F$4:$F$38,MATCH($A64,Baarn!$C$4:$C$38,0)),""),IF(IFERROR(INDEX(Scherpenzeel!$F$4:$F$103,MATCH($A64,Scherpenzeel!$C$4:$C$103,0)),"")&lt;&gt;"",IFERROR(INDEX(Scherpenzeel!$F$4:$F$103,MATCH($A64,Scherpenzeel!$C$4:$C$103,0)),""),IF(IFERROR(INDEX('4'!$F$4:$F$103,MATCH($A64,'4'!$C$4:$C$103,0)),"")&lt;&gt;"",IFERROR(INDEX('4'!$F$4:$F$103,MATCH($A64,'4'!$C$4:$C$103,0)),""),IFERROR(INDEX('5'!$F$4:$F$103,MATCH($A64,'5'!$C$4:$C$103,0)),""))))))</f>
        <v/>
      </c>
      <c r="C64" s="13" t="str">
        <f>IF($A64="","",IF(IFERROR(INDEX(Barneveld!$D$4:$D$36,MATCH($A64,Barneveld!$C$4:$C$36,0)),"")&lt;&gt;"",IFERROR(INDEX(Barneveld!$D$4:$D$36,MATCH($A64,Barneveld!$C$4:$C$36,0)),""),IF(IFERROR(INDEX(Baarn!$E$4:$E$38,MATCH($A64,Baarn!$C$4:$C$38,0)),"")&lt;&gt;"",IFERROR(INDEX(Baarn!$E$4:$E$38,MATCH($A64,Baarn!$C$4:$C$38,0)),""),IF(IFERROR(INDEX(Scherpenzeel!$E$4:$E$103,MATCH($A64,Scherpenzeel!$C$4:$C$103,0)),"")&lt;&gt;"",IFERROR(INDEX(Scherpenzeel!$E$4:$E$103,MATCH($A64,Scherpenzeel!$C$4:$C$103,0)),""),IF(IFERROR(INDEX('4'!$E$4:$E$103,MATCH($A64,'4'!$C$4:$C$103,0)),"")&lt;&gt;"",IFERROR(INDEX('4'!$E$4:$E$103,MATCH($A64,'4'!$C$4:$C$103,0)),""),IFERROR(INDEX('5'!$E$4:$E$103,MATCH($A64,'5'!$C$4:$C$103,0)),""))))))</f>
        <v/>
      </c>
      <c r="D64" s="24" t="str">
        <f>IF($A64="","",IFERROR(INDEX(Barneveld!$A$4:$A$36,MATCH($A64,Barneveld!$C$4:$C$36,0)),""))</f>
        <v/>
      </c>
      <c r="E64" s="15">
        <f>IF($A64="",0,IFERROR(INDEX(Barneveld!$H$4:$H$36,MATCH($A64,Barneveld!$C$4:$C$36,0)),0))</f>
        <v>0</v>
      </c>
      <c r="F64" s="24" t="str">
        <f>IF($A64="","",IFERROR(INDEX(Baarn!$A$4:$A$38,MATCH($A64,Baarn!$C$4:$C$38,0)),""))</f>
        <v/>
      </c>
      <c r="G64" s="15">
        <f>IF($A64="",0,IFERROR(INDEX(Baarn!$I$4:$I$38,MATCH($A64,Baarn!$C$4:$C$38,0)),0))</f>
        <v>0</v>
      </c>
      <c r="H64" s="24" t="str">
        <f>IF($A64="","",IFERROR(INDEX(Scherpenzeel!$A$4:$A$103,MATCH($A64,Scherpenzeel!$C$4:$C$103,0)),""))</f>
        <v/>
      </c>
      <c r="I64" s="15">
        <f>IF($A64="",0,IFERROR(INDEX(Scherpenzeel!$I$4:$I$103,MATCH($A64,Scherpenzeel!$C$4:$C$103,0)),0))</f>
        <v>0</v>
      </c>
      <c r="J64" s="24" t="str">
        <f>IF($A64="","",IFERROR(INDEX('4'!$A$4:$A$103,MATCH($A64,'4'!$C$4:$C$103,0)),""))</f>
        <v/>
      </c>
      <c r="K64" s="15">
        <f>IF($A64="",0,IFERROR(INDEX('4'!$I$4:$I$103,MATCH($A64,'4'!$C$4:$C$103,0)),0))</f>
        <v>0</v>
      </c>
      <c r="L64" s="24" t="str">
        <f>IF($A64="","",IFERROR(INDEX('5'!$A$4:$A$103,MATCH($A64,'5'!$C$4:$C$103,0)),""))</f>
        <v/>
      </c>
      <c r="M64" s="15">
        <f>IF($A64="",0,IFERROR(INDEX('5'!$I$4:$I$103,MATCH($A64,'5'!$C$4:$C$103,0)),0))</f>
        <v>0</v>
      </c>
      <c r="N64" s="25" t="str">
        <f t="shared" si="2"/>
        <v/>
      </c>
      <c r="O64" s="26" t="str">
        <f t="shared" si="3"/>
        <v/>
      </c>
      <c r="AA64" t="str">
        <f>IF(ISNUMBER(SEARCH("Junior",Baarn!E34)),Baarn!C34,"")</f>
        <v/>
      </c>
      <c r="AB64">
        <f>IF(AA64="",0,IF(COUNTIF($AA$1:AA64,AA64)=1,1,0))</f>
        <v>0</v>
      </c>
      <c r="AC64" t="str">
        <f>IF(AB64=1,COUNTIF($AB$1:AB64,1),"")</f>
        <v/>
      </c>
    </row>
    <row r="65" spans="1:29" x14ac:dyDescent="0.25">
      <c r="A65" s="13" t="str">
        <f>IFERROR(INDEX($AA$1:$AA$368,MATCH(62,$AC$1:$AC$368,0)),"")</f>
        <v/>
      </c>
      <c r="B65" s="13" t="str">
        <f>IF($A65="","",IF(IFERROR(INDEX(Barneveld!$E$4:$E$36,MATCH($A65,Barneveld!$C$4:$C$36,0)),"")&lt;&gt;"",IFERROR(INDEX(Barneveld!$E$4:$E$36,MATCH($A65,Barneveld!$C$4:$C$36,0)),""),IF(IFERROR(INDEX(Baarn!$F$4:$F$38,MATCH($A65,Baarn!$C$4:$C$38,0)),"")&lt;&gt;"",IFERROR(INDEX(Baarn!$F$4:$F$38,MATCH($A65,Baarn!$C$4:$C$38,0)),""),IF(IFERROR(INDEX(Scherpenzeel!$F$4:$F$103,MATCH($A65,Scherpenzeel!$C$4:$C$103,0)),"")&lt;&gt;"",IFERROR(INDEX(Scherpenzeel!$F$4:$F$103,MATCH($A65,Scherpenzeel!$C$4:$C$103,0)),""),IF(IFERROR(INDEX('4'!$F$4:$F$103,MATCH($A65,'4'!$C$4:$C$103,0)),"")&lt;&gt;"",IFERROR(INDEX('4'!$F$4:$F$103,MATCH($A65,'4'!$C$4:$C$103,0)),""),IFERROR(INDEX('5'!$F$4:$F$103,MATCH($A65,'5'!$C$4:$C$103,0)),""))))))</f>
        <v/>
      </c>
      <c r="C65" s="13" t="str">
        <f>IF($A65="","",IF(IFERROR(INDEX(Barneveld!$D$4:$D$36,MATCH($A65,Barneveld!$C$4:$C$36,0)),"")&lt;&gt;"",IFERROR(INDEX(Barneveld!$D$4:$D$36,MATCH($A65,Barneveld!$C$4:$C$36,0)),""),IF(IFERROR(INDEX(Baarn!$E$4:$E$38,MATCH($A65,Baarn!$C$4:$C$38,0)),"")&lt;&gt;"",IFERROR(INDEX(Baarn!$E$4:$E$38,MATCH($A65,Baarn!$C$4:$C$38,0)),""),IF(IFERROR(INDEX(Scherpenzeel!$E$4:$E$103,MATCH($A65,Scherpenzeel!$C$4:$C$103,0)),"")&lt;&gt;"",IFERROR(INDEX(Scherpenzeel!$E$4:$E$103,MATCH($A65,Scherpenzeel!$C$4:$C$103,0)),""),IF(IFERROR(INDEX('4'!$E$4:$E$103,MATCH($A65,'4'!$C$4:$C$103,0)),"")&lt;&gt;"",IFERROR(INDEX('4'!$E$4:$E$103,MATCH($A65,'4'!$C$4:$C$103,0)),""),IFERROR(INDEX('5'!$E$4:$E$103,MATCH($A65,'5'!$C$4:$C$103,0)),""))))))</f>
        <v/>
      </c>
      <c r="D65" s="24" t="str">
        <f>IF($A65="","",IFERROR(INDEX(Barneveld!$A$4:$A$36,MATCH($A65,Barneveld!$C$4:$C$36,0)),""))</f>
        <v/>
      </c>
      <c r="E65" s="15">
        <f>IF($A65="",0,IFERROR(INDEX(Barneveld!$H$4:$H$36,MATCH($A65,Barneveld!$C$4:$C$36,0)),0))</f>
        <v>0</v>
      </c>
      <c r="F65" s="24" t="str">
        <f>IF($A65="","",IFERROR(INDEX(Baarn!$A$4:$A$38,MATCH($A65,Baarn!$C$4:$C$38,0)),""))</f>
        <v/>
      </c>
      <c r="G65" s="15">
        <f>IF($A65="",0,IFERROR(INDEX(Baarn!$I$4:$I$38,MATCH($A65,Baarn!$C$4:$C$38,0)),0))</f>
        <v>0</v>
      </c>
      <c r="H65" s="24" t="str">
        <f>IF($A65="","",IFERROR(INDEX(Scherpenzeel!$A$4:$A$103,MATCH($A65,Scherpenzeel!$C$4:$C$103,0)),""))</f>
        <v/>
      </c>
      <c r="I65" s="15">
        <f>IF($A65="",0,IFERROR(INDEX(Scherpenzeel!$I$4:$I$103,MATCH($A65,Scherpenzeel!$C$4:$C$103,0)),0))</f>
        <v>0</v>
      </c>
      <c r="J65" s="24" t="str">
        <f>IF($A65="","",IFERROR(INDEX('4'!$A$4:$A$103,MATCH($A65,'4'!$C$4:$C$103,0)),""))</f>
        <v/>
      </c>
      <c r="K65" s="15">
        <f>IF($A65="",0,IFERROR(INDEX('4'!$I$4:$I$103,MATCH($A65,'4'!$C$4:$C$103,0)),0))</f>
        <v>0</v>
      </c>
      <c r="L65" s="24" t="str">
        <f>IF($A65="","",IFERROR(INDEX('5'!$A$4:$A$103,MATCH($A65,'5'!$C$4:$C$103,0)),""))</f>
        <v/>
      </c>
      <c r="M65" s="15">
        <f>IF($A65="",0,IFERROR(INDEX('5'!$I$4:$I$103,MATCH($A65,'5'!$C$4:$C$103,0)),0))</f>
        <v>0</v>
      </c>
      <c r="N65" s="25" t="str">
        <f t="shared" si="2"/>
        <v/>
      </c>
      <c r="O65" s="26" t="str">
        <f t="shared" si="3"/>
        <v/>
      </c>
      <c r="AA65" t="str">
        <f>IF(ISNUMBER(SEARCH("Junior",Baarn!E35)),Baarn!C35,"")</f>
        <v/>
      </c>
      <c r="AB65">
        <f>IF(AA65="",0,IF(COUNTIF($AA$1:AA65,AA65)=1,1,0))</f>
        <v>0</v>
      </c>
      <c r="AC65" t="str">
        <f>IF(AB65=1,COUNTIF($AB$1:AB65,1),"")</f>
        <v/>
      </c>
    </row>
    <row r="66" spans="1:29" x14ac:dyDescent="0.25">
      <c r="A66" s="13" t="str">
        <f>IFERROR(INDEX($AA$1:$AA$368,MATCH(63,$AC$1:$AC$368,0)),"")</f>
        <v/>
      </c>
      <c r="B66" s="13" t="str">
        <f>IF($A66="","",IF(IFERROR(INDEX(Barneveld!$E$4:$E$36,MATCH($A66,Barneveld!$C$4:$C$36,0)),"")&lt;&gt;"",IFERROR(INDEX(Barneveld!$E$4:$E$36,MATCH($A66,Barneveld!$C$4:$C$36,0)),""),IF(IFERROR(INDEX(Baarn!$F$4:$F$38,MATCH($A66,Baarn!$C$4:$C$38,0)),"")&lt;&gt;"",IFERROR(INDEX(Baarn!$F$4:$F$38,MATCH($A66,Baarn!$C$4:$C$38,0)),""),IF(IFERROR(INDEX(Scherpenzeel!$F$4:$F$103,MATCH($A66,Scherpenzeel!$C$4:$C$103,0)),"")&lt;&gt;"",IFERROR(INDEX(Scherpenzeel!$F$4:$F$103,MATCH($A66,Scherpenzeel!$C$4:$C$103,0)),""),IF(IFERROR(INDEX('4'!$F$4:$F$103,MATCH($A66,'4'!$C$4:$C$103,0)),"")&lt;&gt;"",IFERROR(INDEX('4'!$F$4:$F$103,MATCH($A66,'4'!$C$4:$C$103,0)),""),IFERROR(INDEX('5'!$F$4:$F$103,MATCH($A66,'5'!$C$4:$C$103,0)),""))))))</f>
        <v/>
      </c>
      <c r="C66" s="13" t="str">
        <f>IF($A66="","",IF(IFERROR(INDEX(Barneveld!$D$4:$D$36,MATCH($A66,Barneveld!$C$4:$C$36,0)),"")&lt;&gt;"",IFERROR(INDEX(Barneveld!$D$4:$D$36,MATCH($A66,Barneveld!$C$4:$C$36,0)),""),IF(IFERROR(INDEX(Baarn!$E$4:$E$38,MATCH($A66,Baarn!$C$4:$C$38,0)),"")&lt;&gt;"",IFERROR(INDEX(Baarn!$E$4:$E$38,MATCH($A66,Baarn!$C$4:$C$38,0)),""),IF(IFERROR(INDEX(Scherpenzeel!$E$4:$E$103,MATCH($A66,Scherpenzeel!$C$4:$C$103,0)),"")&lt;&gt;"",IFERROR(INDEX(Scherpenzeel!$E$4:$E$103,MATCH($A66,Scherpenzeel!$C$4:$C$103,0)),""),IF(IFERROR(INDEX('4'!$E$4:$E$103,MATCH($A66,'4'!$C$4:$C$103,0)),"")&lt;&gt;"",IFERROR(INDEX('4'!$E$4:$E$103,MATCH($A66,'4'!$C$4:$C$103,0)),""),IFERROR(INDEX('5'!$E$4:$E$103,MATCH($A66,'5'!$C$4:$C$103,0)),""))))))</f>
        <v/>
      </c>
      <c r="D66" s="24" t="str">
        <f>IF($A66="","",IFERROR(INDEX(Barneveld!$A$4:$A$36,MATCH($A66,Barneveld!$C$4:$C$36,0)),""))</f>
        <v/>
      </c>
      <c r="E66" s="15">
        <f>IF($A66="",0,IFERROR(INDEX(Barneveld!$H$4:$H$36,MATCH($A66,Barneveld!$C$4:$C$36,0)),0))</f>
        <v>0</v>
      </c>
      <c r="F66" s="24" t="str">
        <f>IF($A66="","",IFERROR(INDEX(Baarn!$A$4:$A$38,MATCH($A66,Baarn!$C$4:$C$38,0)),""))</f>
        <v/>
      </c>
      <c r="G66" s="15">
        <f>IF($A66="",0,IFERROR(INDEX(Baarn!$I$4:$I$38,MATCH($A66,Baarn!$C$4:$C$38,0)),0))</f>
        <v>0</v>
      </c>
      <c r="H66" s="24" t="str">
        <f>IF($A66="","",IFERROR(INDEX(Scherpenzeel!$A$4:$A$103,MATCH($A66,Scherpenzeel!$C$4:$C$103,0)),""))</f>
        <v/>
      </c>
      <c r="I66" s="15">
        <f>IF($A66="",0,IFERROR(INDEX(Scherpenzeel!$I$4:$I$103,MATCH($A66,Scherpenzeel!$C$4:$C$103,0)),0))</f>
        <v>0</v>
      </c>
      <c r="J66" s="24" t="str">
        <f>IF($A66="","",IFERROR(INDEX('4'!$A$4:$A$103,MATCH($A66,'4'!$C$4:$C$103,0)),""))</f>
        <v/>
      </c>
      <c r="K66" s="15">
        <f>IF($A66="",0,IFERROR(INDEX('4'!$I$4:$I$103,MATCH($A66,'4'!$C$4:$C$103,0)),0))</f>
        <v>0</v>
      </c>
      <c r="L66" s="24" t="str">
        <f>IF($A66="","",IFERROR(INDEX('5'!$A$4:$A$103,MATCH($A66,'5'!$C$4:$C$103,0)),""))</f>
        <v/>
      </c>
      <c r="M66" s="15">
        <f>IF($A66="",0,IFERROR(INDEX('5'!$I$4:$I$103,MATCH($A66,'5'!$C$4:$C$103,0)),0))</f>
        <v>0</v>
      </c>
      <c r="N66" s="25" t="str">
        <f t="shared" si="2"/>
        <v/>
      </c>
      <c r="O66" s="26" t="str">
        <f t="shared" si="3"/>
        <v/>
      </c>
      <c r="AA66" t="str">
        <f>IF(ISNUMBER(SEARCH("Junior",Baarn!E36)),Baarn!C36,"")</f>
        <v/>
      </c>
      <c r="AB66">
        <f>IF(AA66="",0,IF(COUNTIF($AA$1:AA66,AA66)=1,1,0))</f>
        <v>0</v>
      </c>
      <c r="AC66" t="str">
        <f>IF(AB66=1,COUNTIF($AB$1:AB66,1),"")</f>
        <v/>
      </c>
    </row>
    <row r="67" spans="1:29" x14ac:dyDescent="0.25">
      <c r="A67" s="13" t="str">
        <f>IFERROR(INDEX($AA$1:$AA$368,MATCH(64,$AC$1:$AC$368,0)),"")</f>
        <v/>
      </c>
      <c r="B67" s="13" t="str">
        <f>IF($A67="","",IF(IFERROR(INDEX(Barneveld!$E$4:$E$36,MATCH($A67,Barneveld!$C$4:$C$36,0)),"")&lt;&gt;"",IFERROR(INDEX(Barneveld!$E$4:$E$36,MATCH($A67,Barneveld!$C$4:$C$36,0)),""),IF(IFERROR(INDEX(Baarn!$F$4:$F$38,MATCH($A67,Baarn!$C$4:$C$38,0)),"")&lt;&gt;"",IFERROR(INDEX(Baarn!$F$4:$F$38,MATCH($A67,Baarn!$C$4:$C$38,0)),""),IF(IFERROR(INDEX(Scherpenzeel!$F$4:$F$103,MATCH($A67,Scherpenzeel!$C$4:$C$103,0)),"")&lt;&gt;"",IFERROR(INDEX(Scherpenzeel!$F$4:$F$103,MATCH($A67,Scherpenzeel!$C$4:$C$103,0)),""),IF(IFERROR(INDEX('4'!$F$4:$F$103,MATCH($A67,'4'!$C$4:$C$103,0)),"")&lt;&gt;"",IFERROR(INDEX('4'!$F$4:$F$103,MATCH($A67,'4'!$C$4:$C$103,0)),""),IFERROR(INDEX('5'!$F$4:$F$103,MATCH($A67,'5'!$C$4:$C$103,0)),""))))))</f>
        <v/>
      </c>
      <c r="C67" s="13" t="str">
        <f>IF($A67="","",IF(IFERROR(INDEX(Barneveld!$D$4:$D$36,MATCH($A67,Barneveld!$C$4:$C$36,0)),"")&lt;&gt;"",IFERROR(INDEX(Barneveld!$D$4:$D$36,MATCH($A67,Barneveld!$C$4:$C$36,0)),""),IF(IFERROR(INDEX(Baarn!$E$4:$E$38,MATCH($A67,Baarn!$C$4:$C$38,0)),"")&lt;&gt;"",IFERROR(INDEX(Baarn!$E$4:$E$38,MATCH($A67,Baarn!$C$4:$C$38,0)),""),IF(IFERROR(INDEX(Scherpenzeel!$E$4:$E$103,MATCH($A67,Scherpenzeel!$C$4:$C$103,0)),"")&lt;&gt;"",IFERROR(INDEX(Scherpenzeel!$E$4:$E$103,MATCH($A67,Scherpenzeel!$C$4:$C$103,0)),""),IF(IFERROR(INDEX('4'!$E$4:$E$103,MATCH($A67,'4'!$C$4:$C$103,0)),"")&lt;&gt;"",IFERROR(INDEX('4'!$E$4:$E$103,MATCH($A67,'4'!$C$4:$C$103,0)),""),IFERROR(INDEX('5'!$E$4:$E$103,MATCH($A67,'5'!$C$4:$C$103,0)),""))))))</f>
        <v/>
      </c>
      <c r="D67" s="24" t="str">
        <f>IF($A67="","",IFERROR(INDEX(Barneveld!$A$4:$A$36,MATCH($A67,Barneveld!$C$4:$C$36,0)),""))</f>
        <v/>
      </c>
      <c r="E67" s="15">
        <f>IF($A67="",0,IFERROR(INDEX(Barneveld!$H$4:$H$36,MATCH($A67,Barneveld!$C$4:$C$36,0)),0))</f>
        <v>0</v>
      </c>
      <c r="F67" s="24" t="str">
        <f>IF($A67="","",IFERROR(INDEX(Baarn!$A$4:$A$38,MATCH($A67,Baarn!$C$4:$C$38,0)),""))</f>
        <v/>
      </c>
      <c r="G67" s="15">
        <f>IF($A67="",0,IFERROR(INDEX(Baarn!$I$4:$I$38,MATCH($A67,Baarn!$C$4:$C$38,0)),0))</f>
        <v>0</v>
      </c>
      <c r="H67" s="24" t="str">
        <f>IF($A67="","",IFERROR(INDEX(Scherpenzeel!$A$4:$A$103,MATCH($A67,Scherpenzeel!$C$4:$C$103,0)),""))</f>
        <v/>
      </c>
      <c r="I67" s="15">
        <f>IF($A67="",0,IFERROR(INDEX(Scherpenzeel!$I$4:$I$103,MATCH($A67,Scherpenzeel!$C$4:$C$103,0)),0))</f>
        <v>0</v>
      </c>
      <c r="J67" s="24" t="str">
        <f>IF($A67="","",IFERROR(INDEX('4'!$A$4:$A$103,MATCH($A67,'4'!$C$4:$C$103,0)),""))</f>
        <v/>
      </c>
      <c r="K67" s="15">
        <f>IF($A67="",0,IFERROR(INDEX('4'!$I$4:$I$103,MATCH($A67,'4'!$C$4:$C$103,0)),0))</f>
        <v>0</v>
      </c>
      <c r="L67" s="24" t="str">
        <f>IF($A67="","",IFERROR(INDEX('5'!$A$4:$A$103,MATCH($A67,'5'!$C$4:$C$103,0)),""))</f>
        <v/>
      </c>
      <c r="M67" s="15">
        <f>IF($A67="",0,IFERROR(INDEX('5'!$I$4:$I$103,MATCH($A67,'5'!$C$4:$C$103,0)),0))</f>
        <v>0</v>
      </c>
      <c r="N67" s="25" t="str">
        <f t="shared" si="2"/>
        <v/>
      </c>
      <c r="O67" s="26" t="str">
        <f t="shared" si="3"/>
        <v/>
      </c>
      <c r="AA67" t="str">
        <f>IF(ISNUMBER(SEARCH("Junior",Baarn!E37)),Baarn!C37,"")</f>
        <v/>
      </c>
      <c r="AB67">
        <f>IF(AA67="",0,IF(COUNTIF($AA$1:AA67,AA67)=1,1,0))</f>
        <v>0</v>
      </c>
      <c r="AC67" t="str">
        <f>IF(AB67=1,COUNTIF($AB$1:AB67,1),"")</f>
        <v/>
      </c>
    </row>
    <row r="68" spans="1:29" x14ac:dyDescent="0.25">
      <c r="A68" s="13" t="str">
        <f>IFERROR(INDEX($AA$1:$AA$368,MATCH(65,$AC$1:$AC$368,0)),"")</f>
        <v/>
      </c>
      <c r="B68" s="13" t="str">
        <f>IF($A68="","",IF(IFERROR(INDEX(Barneveld!$E$4:$E$36,MATCH($A68,Barneveld!$C$4:$C$36,0)),"")&lt;&gt;"",IFERROR(INDEX(Barneveld!$E$4:$E$36,MATCH($A68,Barneveld!$C$4:$C$36,0)),""),IF(IFERROR(INDEX(Baarn!$F$4:$F$38,MATCH($A68,Baarn!$C$4:$C$38,0)),"")&lt;&gt;"",IFERROR(INDEX(Baarn!$F$4:$F$38,MATCH($A68,Baarn!$C$4:$C$38,0)),""),IF(IFERROR(INDEX(Scherpenzeel!$F$4:$F$103,MATCH($A68,Scherpenzeel!$C$4:$C$103,0)),"")&lt;&gt;"",IFERROR(INDEX(Scherpenzeel!$F$4:$F$103,MATCH($A68,Scherpenzeel!$C$4:$C$103,0)),""),IF(IFERROR(INDEX('4'!$F$4:$F$103,MATCH($A68,'4'!$C$4:$C$103,0)),"")&lt;&gt;"",IFERROR(INDEX('4'!$F$4:$F$103,MATCH($A68,'4'!$C$4:$C$103,0)),""),IFERROR(INDEX('5'!$F$4:$F$103,MATCH($A68,'5'!$C$4:$C$103,0)),""))))))</f>
        <v/>
      </c>
      <c r="C68" s="13" t="str">
        <f>IF($A68="","",IF(IFERROR(INDEX(Barneveld!$D$4:$D$36,MATCH($A68,Barneveld!$C$4:$C$36,0)),"")&lt;&gt;"",IFERROR(INDEX(Barneveld!$D$4:$D$36,MATCH($A68,Barneveld!$C$4:$C$36,0)),""),IF(IFERROR(INDEX(Baarn!$E$4:$E$38,MATCH($A68,Baarn!$C$4:$C$38,0)),"")&lt;&gt;"",IFERROR(INDEX(Baarn!$E$4:$E$38,MATCH($A68,Baarn!$C$4:$C$38,0)),""),IF(IFERROR(INDEX(Scherpenzeel!$E$4:$E$103,MATCH($A68,Scherpenzeel!$C$4:$C$103,0)),"")&lt;&gt;"",IFERROR(INDEX(Scherpenzeel!$E$4:$E$103,MATCH($A68,Scherpenzeel!$C$4:$C$103,0)),""),IF(IFERROR(INDEX('4'!$E$4:$E$103,MATCH($A68,'4'!$C$4:$C$103,0)),"")&lt;&gt;"",IFERROR(INDEX('4'!$E$4:$E$103,MATCH($A68,'4'!$C$4:$C$103,0)),""),IFERROR(INDEX('5'!$E$4:$E$103,MATCH($A68,'5'!$C$4:$C$103,0)),""))))))</f>
        <v/>
      </c>
      <c r="D68" s="24" t="str">
        <f>IF($A68="","",IFERROR(INDEX(Barneveld!$A$4:$A$36,MATCH($A68,Barneveld!$C$4:$C$36,0)),""))</f>
        <v/>
      </c>
      <c r="E68" s="15">
        <f>IF($A68="",0,IFERROR(INDEX(Barneveld!$H$4:$H$36,MATCH($A68,Barneveld!$C$4:$C$36,0)),0))</f>
        <v>0</v>
      </c>
      <c r="F68" s="24" t="str">
        <f>IF($A68="","",IFERROR(INDEX(Baarn!$A$4:$A$38,MATCH($A68,Baarn!$C$4:$C$38,0)),""))</f>
        <v/>
      </c>
      <c r="G68" s="15">
        <f>IF($A68="",0,IFERROR(INDEX(Baarn!$I$4:$I$38,MATCH($A68,Baarn!$C$4:$C$38,0)),0))</f>
        <v>0</v>
      </c>
      <c r="H68" s="24" t="str">
        <f>IF($A68="","",IFERROR(INDEX(Scherpenzeel!$A$4:$A$103,MATCH($A68,Scherpenzeel!$C$4:$C$103,0)),""))</f>
        <v/>
      </c>
      <c r="I68" s="15">
        <f>IF($A68="",0,IFERROR(INDEX(Scherpenzeel!$I$4:$I$103,MATCH($A68,Scherpenzeel!$C$4:$C$103,0)),0))</f>
        <v>0</v>
      </c>
      <c r="J68" s="24" t="str">
        <f>IF($A68="","",IFERROR(INDEX('4'!$A$4:$A$103,MATCH($A68,'4'!$C$4:$C$103,0)),""))</f>
        <v/>
      </c>
      <c r="K68" s="15">
        <f>IF($A68="",0,IFERROR(INDEX('4'!$I$4:$I$103,MATCH($A68,'4'!$C$4:$C$103,0)),0))</f>
        <v>0</v>
      </c>
      <c r="L68" s="24" t="str">
        <f>IF($A68="","",IFERROR(INDEX('5'!$A$4:$A$103,MATCH($A68,'5'!$C$4:$C$103,0)),""))</f>
        <v/>
      </c>
      <c r="M68" s="15">
        <f>IF($A68="",0,IFERROR(INDEX('5'!$I$4:$I$103,MATCH($A68,'5'!$C$4:$C$103,0)),0))</f>
        <v>0</v>
      </c>
      <c r="N68" s="25" t="str">
        <f t="shared" ref="N68:N99" si="4">IF($A68="","",E68+G68+I68+K68+M68)</f>
        <v/>
      </c>
      <c r="O68" s="26" t="str">
        <f t="shared" ref="O68:O99" si="5">IF(OR($A68="",N68="",N68=0),"",RANK(N68,$N$4:$N$203,0))</f>
        <v/>
      </c>
      <c r="AA68" t="str">
        <f>IF(ISNUMBER(SEARCH("Junior",Baarn!E38)),Baarn!C38,"")</f>
        <v/>
      </c>
      <c r="AB68">
        <f>IF(AA68="",0,IF(COUNTIF($AA$1:AA68,AA68)=1,1,0))</f>
        <v>0</v>
      </c>
      <c r="AC68" t="str">
        <f>IF(AB68=1,COUNTIF($AB$1:AB68,1),"")</f>
        <v/>
      </c>
    </row>
    <row r="69" spans="1:29" x14ac:dyDescent="0.25">
      <c r="A69" s="13" t="str">
        <f>IFERROR(INDEX($AA$1:$AA$368,MATCH(66,$AC$1:$AC$368,0)),"")</f>
        <v/>
      </c>
      <c r="B69" s="13" t="str">
        <f>IF($A69="","",IF(IFERROR(INDEX(Barneveld!$E$4:$E$36,MATCH($A69,Barneveld!$C$4:$C$36,0)),"")&lt;&gt;"",IFERROR(INDEX(Barneveld!$E$4:$E$36,MATCH($A69,Barneveld!$C$4:$C$36,0)),""),IF(IFERROR(INDEX(Baarn!$F$4:$F$38,MATCH($A69,Baarn!$C$4:$C$38,0)),"")&lt;&gt;"",IFERROR(INDEX(Baarn!$F$4:$F$38,MATCH($A69,Baarn!$C$4:$C$38,0)),""),IF(IFERROR(INDEX(Scherpenzeel!$F$4:$F$103,MATCH($A69,Scherpenzeel!$C$4:$C$103,0)),"")&lt;&gt;"",IFERROR(INDEX(Scherpenzeel!$F$4:$F$103,MATCH($A69,Scherpenzeel!$C$4:$C$103,0)),""),IF(IFERROR(INDEX('4'!$F$4:$F$103,MATCH($A69,'4'!$C$4:$C$103,0)),"")&lt;&gt;"",IFERROR(INDEX('4'!$F$4:$F$103,MATCH($A69,'4'!$C$4:$C$103,0)),""),IFERROR(INDEX('5'!$F$4:$F$103,MATCH($A69,'5'!$C$4:$C$103,0)),""))))))</f>
        <v/>
      </c>
      <c r="C69" s="13" t="str">
        <f>IF($A69="","",IF(IFERROR(INDEX(Barneveld!$D$4:$D$36,MATCH($A69,Barneveld!$C$4:$C$36,0)),"")&lt;&gt;"",IFERROR(INDEX(Barneveld!$D$4:$D$36,MATCH($A69,Barneveld!$C$4:$C$36,0)),""),IF(IFERROR(INDEX(Baarn!$E$4:$E$38,MATCH($A69,Baarn!$C$4:$C$38,0)),"")&lt;&gt;"",IFERROR(INDEX(Baarn!$E$4:$E$38,MATCH($A69,Baarn!$C$4:$C$38,0)),""),IF(IFERROR(INDEX(Scherpenzeel!$E$4:$E$103,MATCH($A69,Scherpenzeel!$C$4:$C$103,0)),"")&lt;&gt;"",IFERROR(INDEX(Scherpenzeel!$E$4:$E$103,MATCH($A69,Scherpenzeel!$C$4:$C$103,0)),""),IF(IFERROR(INDEX('4'!$E$4:$E$103,MATCH($A69,'4'!$C$4:$C$103,0)),"")&lt;&gt;"",IFERROR(INDEX('4'!$E$4:$E$103,MATCH($A69,'4'!$C$4:$C$103,0)),""),IFERROR(INDEX('5'!$E$4:$E$103,MATCH($A69,'5'!$C$4:$C$103,0)),""))))))</f>
        <v/>
      </c>
      <c r="D69" s="24" t="str">
        <f>IF($A69="","",IFERROR(INDEX(Barneveld!$A$4:$A$36,MATCH($A69,Barneveld!$C$4:$C$36,0)),""))</f>
        <v/>
      </c>
      <c r="E69" s="15">
        <f>IF($A69="",0,IFERROR(INDEX(Barneveld!$H$4:$H$36,MATCH($A69,Barneveld!$C$4:$C$36,0)),0))</f>
        <v>0</v>
      </c>
      <c r="F69" s="24" t="str">
        <f>IF($A69="","",IFERROR(INDEX(Baarn!$A$4:$A$38,MATCH($A69,Baarn!$C$4:$C$38,0)),""))</f>
        <v/>
      </c>
      <c r="G69" s="15">
        <f>IF($A69="",0,IFERROR(INDEX(Baarn!$I$4:$I$38,MATCH($A69,Baarn!$C$4:$C$38,0)),0))</f>
        <v>0</v>
      </c>
      <c r="H69" s="24" t="str">
        <f>IF($A69="","",IFERROR(INDEX(Scherpenzeel!$A$4:$A$103,MATCH($A69,Scherpenzeel!$C$4:$C$103,0)),""))</f>
        <v/>
      </c>
      <c r="I69" s="15">
        <f>IF($A69="",0,IFERROR(INDEX(Scherpenzeel!$I$4:$I$103,MATCH($A69,Scherpenzeel!$C$4:$C$103,0)),0))</f>
        <v>0</v>
      </c>
      <c r="J69" s="24" t="str">
        <f>IF($A69="","",IFERROR(INDEX('4'!$A$4:$A$103,MATCH($A69,'4'!$C$4:$C$103,0)),""))</f>
        <v/>
      </c>
      <c r="K69" s="15">
        <f>IF($A69="",0,IFERROR(INDEX('4'!$I$4:$I$103,MATCH($A69,'4'!$C$4:$C$103,0)),0))</f>
        <v>0</v>
      </c>
      <c r="L69" s="24" t="str">
        <f>IF($A69="","",IFERROR(INDEX('5'!$A$4:$A$103,MATCH($A69,'5'!$C$4:$C$103,0)),""))</f>
        <v/>
      </c>
      <c r="M69" s="15">
        <f>IF($A69="",0,IFERROR(INDEX('5'!$I$4:$I$103,MATCH($A69,'5'!$C$4:$C$103,0)),0))</f>
        <v>0</v>
      </c>
      <c r="N69" s="25" t="str">
        <f t="shared" si="4"/>
        <v/>
      </c>
      <c r="O69" s="26" t="str">
        <f t="shared" si="5"/>
        <v/>
      </c>
      <c r="AA69" t="str">
        <f>IF(ISNUMBER(SEARCH("Junior",Scherpenzeel!E4)),Scherpenzeel!C4,"")</f>
        <v/>
      </c>
      <c r="AB69">
        <f>IF(AA69="",0,IF(COUNTIF($AA$1:AA69,AA69)=1,1,0))</f>
        <v>0</v>
      </c>
      <c r="AC69" t="str">
        <f>IF(AB69=1,COUNTIF($AB$1:AB69,1),"")</f>
        <v/>
      </c>
    </row>
    <row r="70" spans="1:29" x14ac:dyDescent="0.25">
      <c r="A70" s="13" t="str">
        <f>IFERROR(INDEX($AA$1:$AA$368,MATCH(67,$AC$1:$AC$368,0)),"")</f>
        <v/>
      </c>
      <c r="B70" s="13" t="str">
        <f>IF($A70="","",IF(IFERROR(INDEX(Barneveld!$E$4:$E$36,MATCH($A70,Barneveld!$C$4:$C$36,0)),"")&lt;&gt;"",IFERROR(INDEX(Barneveld!$E$4:$E$36,MATCH($A70,Barneveld!$C$4:$C$36,0)),""),IF(IFERROR(INDEX(Baarn!$F$4:$F$38,MATCH($A70,Baarn!$C$4:$C$38,0)),"")&lt;&gt;"",IFERROR(INDEX(Baarn!$F$4:$F$38,MATCH($A70,Baarn!$C$4:$C$38,0)),""),IF(IFERROR(INDEX(Scherpenzeel!$F$4:$F$103,MATCH($A70,Scherpenzeel!$C$4:$C$103,0)),"")&lt;&gt;"",IFERROR(INDEX(Scherpenzeel!$F$4:$F$103,MATCH($A70,Scherpenzeel!$C$4:$C$103,0)),""),IF(IFERROR(INDEX('4'!$F$4:$F$103,MATCH($A70,'4'!$C$4:$C$103,0)),"")&lt;&gt;"",IFERROR(INDEX('4'!$F$4:$F$103,MATCH($A70,'4'!$C$4:$C$103,0)),""),IFERROR(INDEX('5'!$F$4:$F$103,MATCH($A70,'5'!$C$4:$C$103,0)),""))))))</f>
        <v/>
      </c>
      <c r="C70" s="13" t="str">
        <f>IF($A70="","",IF(IFERROR(INDEX(Barneveld!$D$4:$D$36,MATCH($A70,Barneveld!$C$4:$C$36,0)),"")&lt;&gt;"",IFERROR(INDEX(Barneveld!$D$4:$D$36,MATCH($A70,Barneveld!$C$4:$C$36,0)),""),IF(IFERROR(INDEX(Baarn!$E$4:$E$38,MATCH($A70,Baarn!$C$4:$C$38,0)),"")&lt;&gt;"",IFERROR(INDEX(Baarn!$E$4:$E$38,MATCH($A70,Baarn!$C$4:$C$38,0)),""),IF(IFERROR(INDEX(Scherpenzeel!$E$4:$E$103,MATCH($A70,Scherpenzeel!$C$4:$C$103,0)),"")&lt;&gt;"",IFERROR(INDEX(Scherpenzeel!$E$4:$E$103,MATCH($A70,Scherpenzeel!$C$4:$C$103,0)),""),IF(IFERROR(INDEX('4'!$E$4:$E$103,MATCH($A70,'4'!$C$4:$C$103,0)),"")&lt;&gt;"",IFERROR(INDEX('4'!$E$4:$E$103,MATCH($A70,'4'!$C$4:$C$103,0)),""),IFERROR(INDEX('5'!$E$4:$E$103,MATCH($A70,'5'!$C$4:$C$103,0)),""))))))</f>
        <v/>
      </c>
      <c r="D70" s="24" t="str">
        <f>IF($A70="","",IFERROR(INDEX(Barneveld!$A$4:$A$36,MATCH($A70,Barneveld!$C$4:$C$36,0)),""))</f>
        <v/>
      </c>
      <c r="E70" s="15">
        <f>IF($A70="",0,IFERROR(INDEX(Barneveld!$H$4:$H$36,MATCH($A70,Barneveld!$C$4:$C$36,0)),0))</f>
        <v>0</v>
      </c>
      <c r="F70" s="24" t="str">
        <f>IF($A70="","",IFERROR(INDEX(Baarn!$A$4:$A$38,MATCH($A70,Baarn!$C$4:$C$38,0)),""))</f>
        <v/>
      </c>
      <c r="G70" s="15">
        <f>IF($A70="",0,IFERROR(INDEX(Baarn!$I$4:$I$38,MATCH($A70,Baarn!$C$4:$C$38,0)),0))</f>
        <v>0</v>
      </c>
      <c r="H70" s="24" t="str">
        <f>IF($A70="","",IFERROR(INDEX(Scherpenzeel!$A$4:$A$103,MATCH($A70,Scherpenzeel!$C$4:$C$103,0)),""))</f>
        <v/>
      </c>
      <c r="I70" s="15">
        <f>IF($A70="",0,IFERROR(INDEX(Scherpenzeel!$I$4:$I$103,MATCH($A70,Scherpenzeel!$C$4:$C$103,0)),0))</f>
        <v>0</v>
      </c>
      <c r="J70" s="24" t="str">
        <f>IF($A70="","",IFERROR(INDEX('4'!$A$4:$A$103,MATCH($A70,'4'!$C$4:$C$103,0)),""))</f>
        <v/>
      </c>
      <c r="K70" s="15">
        <f>IF($A70="",0,IFERROR(INDEX('4'!$I$4:$I$103,MATCH($A70,'4'!$C$4:$C$103,0)),0))</f>
        <v>0</v>
      </c>
      <c r="L70" s="24" t="str">
        <f>IF($A70="","",IFERROR(INDEX('5'!$A$4:$A$103,MATCH($A70,'5'!$C$4:$C$103,0)),""))</f>
        <v/>
      </c>
      <c r="M70" s="15">
        <f>IF($A70="",0,IFERROR(INDEX('5'!$I$4:$I$103,MATCH($A70,'5'!$C$4:$C$103,0)),0))</f>
        <v>0</v>
      </c>
      <c r="N70" s="25" t="str">
        <f t="shared" si="4"/>
        <v/>
      </c>
      <c r="O70" s="26" t="str">
        <f t="shared" si="5"/>
        <v/>
      </c>
      <c r="AA70" t="str">
        <f>IF(ISNUMBER(SEARCH("Junior",Scherpenzeel!E5)),Scherpenzeel!C5,"")</f>
        <v>Lennart Nelisse</v>
      </c>
      <c r="AB70">
        <f>IF(AA70="",0,IF(COUNTIF($AA$1:AA70,AA70)=1,1,0))</f>
        <v>1</v>
      </c>
      <c r="AC70">
        <f>IF(AB70=1,COUNTIF($AB$1:AB70,1),"")</f>
        <v>14</v>
      </c>
    </row>
    <row r="71" spans="1:29" x14ac:dyDescent="0.25">
      <c r="A71" s="13" t="str">
        <f>IFERROR(INDEX($AA$1:$AA$368,MATCH(68,$AC$1:$AC$368,0)),"")</f>
        <v/>
      </c>
      <c r="B71" s="13" t="str">
        <f>IF($A71="","",IF(IFERROR(INDEX(Barneveld!$E$4:$E$36,MATCH($A71,Barneveld!$C$4:$C$36,0)),"")&lt;&gt;"",IFERROR(INDEX(Barneveld!$E$4:$E$36,MATCH($A71,Barneveld!$C$4:$C$36,0)),""),IF(IFERROR(INDEX(Baarn!$F$4:$F$38,MATCH($A71,Baarn!$C$4:$C$38,0)),"")&lt;&gt;"",IFERROR(INDEX(Baarn!$F$4:$F$38,MATCH($A71,Baarn!$C$4:$C$38,0)),""),IF(IFERROR(INDEX(Scherpenzeel!$F$4:$F$103,MATCH($A71,Scherpenzeel!$C$4:$C$103,0)),"")&lt;&gt;"",IFERROR(INDEX(Scherpenzeel!$F$4:$F$103,MATCH($A71,Scherpenzeel!$C$4:$C$103,0)),""),IF(IFERROR(INDEX('4'!$F$4:$F$103,MATCH($A71,'4'!$C$4:$C$103,0)),"")&lt;&gt;"",IFERROR(INDEX('4'!$F$4:$F$103,MATCH($A71,'4'!$C$4:$C$103,0)),""),IFERROR(INDEX('5'!$F$4:$F$103,MATCH($A71,'5'!$C$4:$C$103,0)),""))))))</f>
        <v/>
      </c>
      <c r="C71" s="13" t="str">
        <f>IF($A71="","",IF(IFERROR(INDEX(Barneveld!$D$4:$D$36,MATCH($A71,Barneveld!$C$4:$C$36,0)),"")&lt;&gt;"",IFERROR(INDEX(Barneveld!$D$4:$D$36,MATCH($A71,Barneveld!$C$4:$C$36,0)),""),IF(IFERROR(INDEX(Baarn!$E$4:$E$38,MATCH($A71,Baarn!$C$4:$C$38,0)),"")&lt;&gt;"",IFERROR(INDEX(Baarn!$E$4:$E$38,MATCH($A71,Baarn!$C$4:$C$38,0)),""),IF(IFERROR(INDEX(Scherpenzeel!$E$4:$E$103,MATCH($A71,Scherpenzeel!$C$4:$C$103,0)),"")&lt;&gt;"",IFERROR(INDEX(Scherpenzeel!$E$4:$E$103,MATCH($A71,Scherpenzeel!$C$4:$C$103,0)),""),IF(IFERROR(INDEX('4'!$E$4:$E$103,MATCH($A71,'4'!$C$4:$C$103,0)),"")&lt;&gt;"",IFERROR(INDEX('4'!$E$4:$E$103,MATCH($A71,'4'!$C$4:$C$103,0)),""),IFERROR(INDEX('5'!$E$4:$E$103,MATCH($A71,'5'!$C$4:$C$103,0)),""))))))</f>
        <v/>
      </c>
      <c r="D71" s="24" t="str">
        <f>IF($A71="","",IFERROR(INDEX(Barneveld!$A$4:$A$36,MATCH($A71,Barneveld!$C$4:$C$36,0)),""))</f>
        <v/>
      </c>
      <c r="E71" s="15">
        <f>IF($A71="",0,IFERROR(INDEX(Barneveld!$H$4:$H$36,MATCH($A71,Barneveld!$C$4:$C$36,0)),0))</f>
        <v>0</v>
      </c>
      <c r="F71" s="24" t="str">
        <f>IF($A71="","",IFERROR(INDEX(Baarn!$A$4:$A$38,MATCH($A71,Baarn!$C$4:$C$38,0)),""))</f>
        <v/>
      </c>
      <c r="G71" s="15">
        <f>IF($A71="",0,IFERROR(INDEX(Baarn!$I$4:$I$38,MATCH($A71,Baarn!$C$4:$C$38,0)),0))</f>
        <v>0</v>
      </c>
      <c r="H71" s="24" t="str">
        <f>IF($A71="","",IFERROR(INDEX(Scherpenzeel!$A$4:$A$103,MATCH($A71,Scherpenzeel!$C$4:$C$103,0)),""))</f>
        <v/>
      </c>
      <c r="I71" s="15">
        <f>IF($A71="",0,IFERROR(INDEX(Scherpenzeel!$I$4:$I$103,MATCH($A71,Scherpenzeel!$C$4:$C$103,0)),0))</f>
        <v>0</v>
      </c>
      <c r="J71" s="24" t="str">
        <f>IF($A71="","",IFERROR(INDEX('4'!$A$4:$A$103,MATCH($A71,'4'!$C$4:$C$103,0)),""))</f>
        <v/>
      </c>
      <c r="K71" s="15">
        <f>IF($A71="",0,IFERROR(INDEX('4'!$I$4:$I$103,MATCH($A71,'4'!$C$4:$C$103,0)),0))</f>
        <v>0</v>
      </c>
      <c r="L71" s="24" t="str">
        <f>IF($A71="","",IFERROR(INDEX('5'!$A$4:$A$103,MATCH($A71,'5'!$C$4:$C$103,0)),""))</f>
        <v/>
      </c>
      <c r="M71" s="15">
        <f>IF($A71="",0,IFERROR(INDEX('5'!$I$4:$I$103,MATCH($A71,'5'!$C$4:$C$103,0)),0))</f>
        <v>0</v>
      </c>
      <c r="N71" s="25" t="str">
        <f t="shared" si="4"/>
        <v/>
      </c>
      <c r="O71" s="26" t="str">
        <f t="shared" si="5"/>
        <v/>
      </c>
      <c r="AA71" t="str">
        <f>IF(ISNUMBER(SEARCH("Junior",Scherpenzeel!E6)),Scherpenzeel!C6,"")</f>
        <v/>
      </c>
      <c r="AB71">
        <f>IF(AA71="",0,IF(COUNTIF($AA$1:AA71,AA71)=1,1,0))</f>
        <v>0</v>
      </c>
      <c r="AC71" t="str">
        <f>IF(AB71=1,COUNTIF($AB$1:AB71,1),"")</f>
        <v/>
      </c>
    </row>
    <row r="72" spans="1:29" x14ac:dyDescent="0.25">
      <c r="A72" s="13" t="str">
        <f>IFERROR(INDEX($AA$1:$AA$368,MATCH(69,$AC$1:$AC$368,0)),"")</f>
        <v/>
      </c>
      <c r="B72" s="13" t="str">
        <f>IF($A72="","",IF(IFERROR(INDEX(Barneveld!$E$4:$E$36,MATCH($A72,Barneveld!$C$4:$C$36,0)),"")&lt;&gt;"",IFERROR(INDEX(Barneveld!$E$4:$E$36,MATCH($A72,Barneveld!$C$4:$C$36,0)),""),IF(IFERROR(INDEX(Baarn!$F$4:$F$38,MATCH($A72,Baarn!$C$4:$C$38,0)),"")&lt;&gt;"",IFERROR(INDEX(Baarn!$F$4:$F$38,MATCH($A72,Baarn!$C$4:$C$38,0)),""),IF(IFERROR(INDEX(Scherpenzeel!$F$4:$F$103,MATCH($A72,Scherpenzeel!$C$4:$C$103,0)),"")&lt;&gt;"",IFERROR(INDEX(Scherpenzeel!$F$4:$F$103,MATCH($A72,Scherpenzeel!$C$4:$C$103,0)),""),IF(IFERROR(INDEX('4'!$F$4:$F$103,MATCH($A72,'4'!$C$4:$C$103,0)),"")&lt;&gt;"",IFERROR(INDEX('4'!$F$4:$F$103,MATCH($A72,'4'!$C$4:$C$103,0)),""),IFERROR(INDEX('5'!$F$4:$F$103,MATCH($A72,'5'!$C$4:$C$103,0)),""))))))</f>
        <v/>
      </c>
      <c r="C72" s="13" t="str">
        <f>IF($A72="","",IF(IFERROR(INDEX(Barneveld!$D$4:$D$36,MATCH($A72,Barneveld!$C$4:$C$36,0)),"")&lt;&gt;"",IFERROR(INDEX(Barneveld!$D$4:$D$36,MATCH($A72,Barneveld!$C$4:$C$36,0)),""),IF(IFERROR(INDEX(Baarn!$E$4:$E$38,MATCH($A72,Baarn!$C$4:$C$38,0)),"")&lt;&gt;"",IFERROR(INDEX(Baarn!$E$4:$E$38,MATCH($A72,Baarn!$C$4:$C$38,0)),""),IF(IFERROR(INDEX(Scherpenzeel!$E$4:$E$103,MATCH($A72,Scherpenzeel!$C$4:$C$103,0)),"")&lt;&gt;"",IFERROR(INDEX(Scherpenzeel!$E$4:$E$103,MATCH($A72,Scherpenzeel!$C$4:$C$103,0)),""),IF(IFERROR(INDEX('4'!$E$4:$E$103,MATCH($A72,'4'!$C$4:$C$103,0)),"")&lt;&gt;"",IFERROR(INDEX('4'!$E$4:$E$103,MATCH($A72,'4'!$C$4:$C$103,0)),""),IFERROR(INDEX('5'!$E$4:$E$103,MATCH($A72,'5'!$C$4:$C$103,0)),""))))))</f>
        <v/>
      </c>
      <c r="D72" s="24" t="str">
        <f>IF($A72="","",IFERROR(INDEX(Barneveld!$A$4:$A$36,MATCH($A72,Barneveld!$C$4:$C$36,0)),""))</f>
        <v/>
      </c>
      <c r="E72" s="15">
        <f>IF($A72="",0,IFERROR(INDEX(Barneveld!$H$4:$H$36,MATCH($A72,Barneveld!$C$4:$C$36,0)),0))</f>
        <v>0</v>
      </c>
      <c r="F72" s="24" t="str">
        <f>IF($A72="","",IFERROR(INDEX(Baarn!$A$4:$A$38,MATCH($A72,Baarn!$C$4:$C$38,0)),""))</f>
        <v/>
      </c>
      <c r="G72" s="15">
        <f>IF($A72="",0,IFERROR(INDEX(Baarn!$I$4:$I$38,MATCH($A72,Baarn!$C$4:$C$38,0)),0))</f>
        <v>0</v>
      </c>
      <c r="H72" s="24" t="str">
        <f>IF($A72="","",IFERROR(INDEX(Scherpenzeel!$A$4:$A$103,MATCH($A72,Scherpenzeel!$C$4:$C$103,0)),""))</f>
        <v/>
      </c>
      <c r="I72" s="15">
        <f>IF($A72="",0,IFERROR(INDEX(Scherpenzeel!$I$4:$I$103,MATCH($A72,Scherpenzeel!$C$4:$C$103,0)),0))</f>
        <v>0</v>
      </c>
      <c r="J72" s="24" t="str">
        <f>IF($A72="","",IFERROR(INDEX('4'!$A$4:$A$103,MATCH($A72,'4'!$C$4:$C$103,0)),""))</f>
        <v/>
      </c>
      <c r="K72" s="15">
        <f>IF($A72="",0,IFERROR(INDEX('4'!$I$4:$I$103,MATCH($A72,'4'!$C$4:$C$103,0)),0))</f>
        <v>0</v>
      </c>
      <c r="L72" s="24" t="str">
        <f>IF($A72="","",IFERROR(INDEX('5'!$A$4:$A$103,MATCH($A72,'5'!$C$4:$C$103,0)),""))</f>
        <v/>
      </c>
      <c r="M72" s="15">
        <f>IF($A72="",0,IFERROR(INDEX('5'!$I$4:$I$103,MATCH($A72,'5'!$C$4:$C$103,0)),0))</f>
        <v>0</v>
      </c>
      <c r="N72" s="25" t="str">
        <f t="shared" si="4"/>
        <v/>
      </c>
      <c r="O72" s="26" t="str">
        <f t="shared" si="5"/>
        <v/>
      </c>
      <c r="AA72" t="str">
        <f>IF(ISNUMBER(SEARCH("Junior",Scherpenzeel!E7)),Scherpenzeel!C7,"")</f>
        <v/>
      </c>
      <c r="AB72">
        <f>IF(AA72="",0,IF(COUNTIF($AA$1:AA72,AA72)=1,1,0))</f>
        <v>0</v>
      </c>
      <c r="AC72" t="str">
        <f>IF(AB72=1,COUNTIF($AB$1:AB72,1),"")</f>
        <v/>
      </c>
    </row>
    <row r="73" spans="1:29" x14ac:dyDescent="0.25">
      <c r="A73" s="13" t="str">
        <f>IFERROR(INDEX($AA$1:$AA$368,MATCH(70,$AC$1:$AC$368,0)),"")</f>
        <v/>
      </c>
      <c r="B73" s="13" t="str">
        <f>IF($A73="","",IF(IFERROR(INDEX(Barneveld!$E$4:$E$36,MATCH($A73,Barneveld!$C$4:$C$36,0)),"")&lt;&gt;"",IFERROR(INDEX(Barneveld!$E$4:$E$36,MATCH($A73,Barneveld!$C$4:$C$36,0)),""),IF(IFERROR(INDEX(Baarn!$F$4:$F$38,MATCH($A73,Baarn!$C$4:$C$38,0)),"")&lt;&gt;"",IFERROR(INDEX(Baarn!$F$4:$F$38,MATCH($A73,Baarn!$C$4:$C$38,0)),""),IF(IFERROR(INDEX(Scherpenzeel!$F$4:$F$103,MATCH($A73,Scherpenzeel!$C$4:$C$103,0)),"")&lt;&gt;"",IFERROR(INDEX(Scherpenzeel!$F$4:$F$103,MATCH($A73,Scherpenzeel!$C$4:$C$103,0)),""),IF(IFERROR(INDEX('4'!$F$4:$F$103,MATCH($A73,'4'!$C$4:$C$103,0)),"")&lt;&gt;"",IFERROR(INDEX('4'!$F$4:$F$103,MATCH($A73,'4'!$C$4:$C$103,0)),""),IFERROR(INDEX('5'!$F$4:$F$103,MATCH($A73,'5'!$C$4:$C$103,0)),""))))))</f>
        <v/>
      </c>
      <c r="C73" s="13" t="str">
        <f>IF($A73="","",IF(IFERROR(INDEX(Barneveld!$D$4:$D$36,MATCH($A73,Barneveld!$C$4:$C$36,0)),"")&lt;&gt;"",IFERROR(INDEX(Barneveld!$D$4:$D$36,MATCH($A73,Barneveld!$C$4:$C$36,0)),""),IF(IFERROR(INDEX(Baarn!$E$4:$E$38,MATCH($A73,Baarn!$C$4:$C$38,0)),"")&lt;&gt;"",IFERROR(INDEX(Baarn!$E$4:$E$38,MATCH($A73,Baarn!$C$4:$C$38,0)),""),IF(IFERROR(INDEX(Scherpenzeel!$E$4:$E$103,MATCH($A73,Scherpenzeel!$C$4:$C$103,0)),"")&lt;&gt;"",IFERROR(INDEX(Scherpenzeel!$E$4:$E$103,MATCH($A73,Scherpenzeel!$C$4:$C$103,0)),""),IF(IFERROR(INDEX('4'!$E$4:$E$103,MATCH($A73,'4'!$C$4:$C$103,0)),"")&lt;&gt;"",IFERROR(INDEX('4'!$E$4:$E$103,MATCH($A73,'4'!$C$4:$C$103,0)),""),IFERROR(INDEX('5'!$E$4:$E$103,MATCH($A73,'5'!$C$4:$C$103,0)),""))))))</f>
        <v/>
      </c>
      <c r="D73" s="24" t="str">
        <f>IF($A73="","",IFERROR(INDEX(Barneveld!$A$4:$A$36,MATCH($A73,Barneveld!$C$4:$C$36,0)),""))</f>
        <v/>
      </c>
      <c r="E73" s="15">
        <f>IF($A73="",0,IFERROR(INDEX(Barneveld!$H$4:$H$36,MATCH($A73,Barneveld!$C$4:$C$36,0)),0))</f>
        <v>0</v>
      </c>
      <c r="F73" s="24" t="str">
        <f>IF($A73="","",IFERROR(INDEX(Baarn!$A$4:$A$38,MATCH($A73,Baarn!$C$4:$C$38,0)),""))</f>
        <v/>
      </c>
      <c r="G73" s="15">
        <f>IF($A73="",0,IFERROR(INDEX(Baarn!$I$4:$I$38,MATCH($A73,Baarn!$C$4:$C$38,0)),0))</f>
        <v>0</v>
      </c>
      <c r="H73" s="24" t="str">
        <f>IF($A73="","",IFERROR(INDEX(Scherpenzeel!$A$4:$A$103,MATCH($A73,Scherpenzeel!$C$4:$C$103,0)),""))</f>
        <v/>
      </c>
      <c r="I73" s="15">
        <f>IF($A73="",0,IFERROR(INDEX(Scherpenzeel!$I$4:$I$103,MATCH($A73,Scherpenzeel!$C$4:$C$103,0)),0))</f>
        <v>0</v>
      </c>
      <c r="J73" s="24" t="str">
        <f>IF($A73="","",IFERROR(INDEX('4'!$A$4:$A$103,MATCH($A73,'4'!$C$4:$C$103,0)),""))</f>
        <v/>
      </c>
      <c r="K73" s="15">
        <f>IF($A73="",0,IFERROR(INDEX('4'!$I$4:$I$103,MATCH($A73,'4'!$C$4:$C$103,0)),0))</f>
        <v>0</v>
      </c>
      <c r="L73" s="24" t="str">
        <f>IF($A73="","",IFERROR(INDEX('5'!$A$4:$A$103,MATCH($A73,'5'!$C$4:$C$103,0)),""))</f>
        <v/>
      </c>
      <c r="M73" s="15">
        <f>IF($A73="",0,IFERROR(INDEX('5'!$I$4:$I$103,MATCH($A73,'5'!$C$4:$C$103,0)),0))</f>
        <v>0</v>
      </c>
      <c r="N73" s="25" t="str">
        <f t="shared" si="4"/>
        <v/>
      </c>
      <c r="O73" s="26" t="str">
        <f t="shared" si="5"/>
        <v/>
      </c>
      <c r="AA73" t="str">
        <f>IF(ISNUMBER(SEARCH("Junior",Scherpenzeel!E8)),Scherpenzeel!C8,"")</f>
        <v/>
      </c>
      <c r="AB73">
        <f>IF(AA73="",0,IF(COUNTIF($AA$1:AA73,AA73)=1,1,0))</f>
        <v>0</v>
      </c>
      <c r="AC73" t="str">
        <f>IF(AB73=1,COUNTIF($AB$1:AB73,1),"")</f>
        <v/>
      </c>
    </row>
    <row r="74" spans="1:29" x14ac:dyDescent="0.25">
      <c r="A74" s="13" t="str">
        <f>IFERROR(INDEX($AA$1:$AA$368,MATCH(71,$AC$1:$AC$368,0)),"")</f>
        <v/>
      </c>
      <c r="B74" s="13" t="str">
        <f>IF($A74="","",IF(IFERROR(INDEX(Barneveld!$E$4:$E$36,MATCH($A74,Barneveld!$C$4:$C$36,0)),"")&lt;&gt;"",IFERROR(INDEX(Barneveld!$E$4:$E$36,MATCH($A74,Barneveld!$C$4:$C$36,0)),""),IF(IFERROR(INDEX(Baarn!$F$4:$F$38,MATCH($A74,Baarn!$C$4:$C$38,0)),"")&lt;&gt;"",IFERROR(INDEX(Baarn!$F$4:$F$38,MATCH($A74,Baarn!$C$4:$C$38,0)),""),IF(IFERROR(INDEX(Scherpenzeel!$F$4:$F$103,MATCH($A74,Scherpenzeel!$C$4:$C$103,0)),"")&lt;&gt;"",IFERROR(INDEX(Scherpenzeel!$F$4:$F$103,MATCH($A74,Scherpenzeel!$C$4:$C$103,0)),""),IF(IFERROR(INDEX('4'!$F$4:$F$103,MATCH($A74,'4'!$C$4:$C$103,0)),"")&lt;&gt;"",IFERROR(INDEX('4'!$F$4:$F$103,MATCH($A74,'4'!$C$4:$C$103,0)),""),IFERROR(INDEX('5'!$F$4:$F$103,MATCH($A74,'5'!$C$4:$C$103,0)),""))))))</f>
        <v/>
      </c>
      <c r="C74" s="13" t="str">
        <f>IF($A74="","",IF(IFERROR(INDEX(Barneveld!$D$4:$D$36,MATCH($A74,Barneveld!$C$4:$C$36,0)),"")&lt;&gt;"",IFERROR(INDEX(Barneveld!$D$4:$D$36,MATCH($A74,Barneveld!$C$4:$C$36,0)),""),IF(IFERROR(INDEX(Baarn!$E$4:$E$38,MATCH($A74,Baarn!$C$4:$C$38,0)),"")&lt;&gt;"",IFERROR(INDEX(Baarn!$E$4:$E$38,MATCH($A74,Baarn!$C$4:$C$38,0)),""),IF(IFERROR(INDEX(Scherpenzeel!$E$4:$E$103,MATCH($A74,Scherpenzeel!$C$4:$C$103,0)),"")&lt;&gt;"",IFERROR(INDEX(Scherpenzeel!$E$4:$E$103,MATCH($A74,Scherpenzeel!$C$4:$C$103,0)),""),IF(IFERROR(INDEX('4'!$E$4:$E$103,MATCH($A74,'4'!$C$4:$C$103,0)),"")&lt;&gt;"",IFERROR(INDEX('4'!$E$4:$E$103,MATCH($A74,'4'!$C$4:$C$103,0)),""),IFERROR(INDEX('5'!$E$4:$E$103,MATCH($A74,'5'!$C$4:$C$103,0)),""))))))</f>
        <v/>
      </c>
      <c r="D74" s="24" t="str">
        <f>IF($A74="","",IFERROR(INDEX(Barneveld!$A$4:$A$36,MATCH($A74,Barneveld!$C$4:$C$36,0)),""))</f>
        <v/>
      </c>
      <c r="E74" s="15">
        <f>IF($A74="",0,IFERROR(INDEX(Barneveld!$H$4:$H$36,MATCH($A74,Barneveld!$C$4:$C$36,0)),0))</f>
        <v>0</v>
      </c>
      <c r="F74" s="24" t="str">
        <f>IF($A74="","",IFERROR(INDEX(Baarn!$A$4:$A$38,MATCH($A74,Baarn!$C$4:$C$38,0)),""))</f>
        <v/>
      </c>
      <c r="G74" s="15">
        <f>IF($A74="",0,IFERROR(INDEX(Baarn!$I$4:$I$38,MATCH($A74,Baarn!$C$4:$C$38,0)),0))</f>
        <v>0</v>
      </c>
      <c r="H74" s="24" t="str">
        <f>IF($A74="","",IFERROR(INDEX(Scherpenzeel!$A$4:$A$103,MATCH($A74,Scherpenzeel!$C$4:$C$103,0)),""))</f>
        <v/>
      </c>
      <c r="I74" s="15">
        <f>IF($A74="",0,IFERROR(INDEX(Scherpenzeel!$I$4:$I$103,MATCH($A74,Scherpenzeel!$C$4:$C$103,0)),0))</f>
        <v>0</v>
      </c>
      <c r="J74" s="24" t="str">
        <f>IF($A74="","",IFERROR(INDEX('4'!$A$4:$A$103,MATCH($A74,'4'!$C$4:$C$103,0)),""))</f>
        <v/>
      </c>
      <c r="K74" s="15">
        <f>IF($A74="",0,IFERROR(INDEX('4'!$I$4:$I$103,MATCH($A74,'4'!$C$4:$C$103,0)),0))</f>
        <v>0</v>
      </c>
      <c r="L74" s="24" t="str">
        <f>IF($A74="","",IFERROR(INDEX('5'!$A$4:$A$103,MATCH($A74,'5'!$C$4:$C$103,0)),""))</f>
        <v/>
      </c>
      <c r="M74" s="15">
        <f>IF($A74="",0,IFERROR(INDEX('5'!$I$4:$I$103,MATCH($A74,'5'!$C$4:$C$103,0)),0))</f>
        <v>0</v>
      </c>
      <c r="N74" s="25" t="str">
        <f t="shared" si="4"/>
        <v/>
      </c>
      <c r="O74" s="26" t="str">
        <f t="shared" si="5"/>
        <v/>
      </c>
      <c r="AA74" t="str">
        <f>IF(ISNUMBER(SEARCH("Junior",Scherpenzeel!E9)),Scherpenzeel!C9,"")</f>
        <v/>
      </c>
      <c r="AB74">
        <f>IF(AA74="",0,IF(COUNTIF($AA$1:AA74,AA74)=1,1,0))</f>
        <v>0</v>
      </c>
      <c r="AC74" t="str">
        <f>IF(AB74=1,COUNTIF($AB$1:AB74,1),"")</f>
        <v/>
      </c>
    </row>
    <row r="75" spans="1:29" x14ac:dyDescent="0.25">
      <c r="A75" s="13" t="str">
        <f>IFERROR(INDEX($AA$1:$AA$368,MATCH(72,$AC$1:$AC$368,0)),"")</f>
        <v/>
      </c>
      <c r="B75" s="13" t="str">
        <f>IF($A75="","",IF(IFERROR(INDEX(Barneveld!$E$4:$E$36,MATCH($A75,Barneveld!$C$4:$C$36,0)),"")&lt;&gt;"",IFERROR(INDEX(Barneveld!$E$4:$E$36,MATCH($A75,Barneveld!$C$4:$C$36,0)),""),IF(IFERROR(INDEX(Baarn!$F$4:$F$38,MATCH($A75,Baarn!$C$4:$C$38,0)),"")&lt;&gt;"",IFERROR(INDEX(Baarn!$F$4:$F$38,MATCH($A75,Baarn!$C$4:$C$38,0)),""),IF(IFERROR(INDEX(Scherpenzeel!$F$4:$F$103,MATCH($A75,Scherpenzeel!$C$4:$C$103,0)),"")&lt;&gt;"",IFERROR(INDEX(Scherpenzeel!$F$4:$F$103,MATCH($A75,Scherpenzeel!$C$4:$C$103,0)),""),IF(IFERROR(INDEX('4'!$F$4:$F$103,MATCH($A75,'4'!$C$4:$C$103,0)),"")&lt;&gt;"",IFERROR(INDEX('4'!$F$4:$F$103,MATCH($A75,'4'!$C$4:$C$103,0)),""),IFERROR(INDEX('5'!$F$4:$F$103,MATCH($A75,'5'!$C$4:$C$103,0)),""))))))</f>
        <v/>
      </c>
      <c r="C75" s="13" t="str">
        <f>IF($A75="","",IF(IFERROR(INDEX(Barneveld!$D$4:$D$36,MATCH($A75,Barneveld!$C$4:$C$36,0)),"")&lt;&gt;"",IFERROR(INDEX(Barneveld!$D$4:$D$36,MATCH($A75,Barneveld!$C$4:$C$36,0)),""),IF(IFERROR(INDEX(Baarn!$E$4:$E$38,MATCH($A75,Baarn!$C$4:$C$38,0)),"")&lt;&gt;"",IFERROR(INDEX(Baarn!$E$4:$E$38,MATCH($A75,Baarn!$C$4:$C$38,0)),""),IF(IFERROR(INDEX(Scherpenzeel!$E$4:$E$103,MATCH($A75,Scherpenzeel!$C$4:$C$103,0)),"")&lt;&gt;"",IFERROR(INDEX(Scherpenzeel!$E$4:$E$103,MATCH($A75,Scherpenzeel!$C$4:$C$103,0)),""),IF(IFERROR(INDEX('4'!$E$4:$E$103,MATCH($A75,'4'!$C$4:$C$103,0)),"")&lt;&gt;"",IFERROR(INDEX('4'!$E$4:$E$103,MATCH($A75,'4'!$C$4:$C$103,0)),""),IFERROR(INDEX('5'!$E$4:$E$103,MATCH($A75,'5'!$C$4:$C$103,0)),""))))))</f>
        <v/>
      </c>
      <c r="D75" s="24" t="str">
        <f>IF($A75="","",IFERROR(INDEX(Barneveld!$A$4:$A$36,MATCH($A75,Barneveld!$C$4:$C$36,0)),""))</f>
        <v/>
      </c>
      <c r="E75" s="15">
        <f>IF($A75="",0,IFERROR(INDEX(Barneveld!$H$4:$H$36,MATCH($A75,Barneveld!$C$4:$C$36,0)),0))</f>
        <v>0</v>
      </c>
      <c r="F75" s="24" t="str">
        <f>IF($A75="","",IFERROR(INDEX(Baarn!$A$4:$A$38,MATCH($A75,Baarn!$C$4:$C$38,0)),""))</f>
        <v/>
      </c>
      <c r="G75" s="15">
        <f>IF($A75="",0,IFERROR(INDEX(Baarn!$I$4:$I$38,MATCH($A75,Baarn!$C$4:$C$38,0)),0))</f>
        <v>0</v>
      </c>
      <c r="H75" s="24" t="str">
        <f>IF($A75="","",IFERROR(INDEX(Scherpenzeel!$A$4:$A$103,MATCH($A75,Scherpenzeel!$C$4:$C$103,0)),""))</f>
        <v/>
      </c>
      <c r="I75" s="15">
        <f>IF($A75="",0,IFERROR(INDEX(Scherpenzeel!$I$4:$I$103,MATCH($A75,Scherpenzeel!$C$4:$C$103,0)),0))</f>
        <v>0</v>
      </c>
      <c r="J75" s="24" t="str">
        <f>IF($A75="","",IFERROR(INDEX('4'!$A$4:$A$103,MATCH($A75,'4'!$C$4:$C$103,0)),""))</f>
        <v/>
      </c>
      <c r="K75" s="15">
        <f>IF($A75="",0,IFERROR(INDEX('4'!$I$4:$I$103,MATCH($A75,'4'!$C$4:$C$103,0)),0))</f>
        <v>0</v>
      </c>
      <c r="L75" s="24" t="str">
        <f>IF($A75="","",IFERROR(INDEX('5'!$A$4:$A$103,MATCH($A75,'5'!$C$4:$C$103,0)),""))</f>
        <v/>
      </c>
      <c r="M75" s="15">
        <f>IF($A75="",0,IFERROR(INDEX('5'!$I$4:$I$103,MATCH($A75,'5'!$C$4:$C$103,0)),0))</f>
        <v>0</v>
      </c>
      <c r="N75" s="25" t="str">
        <f t="shared" si="4"/>
        <v/>
      </c>
      <c r="O75" s="26" t="str">
        <f t="shared" si="5"/>
        <v/>
      </c>
      <c r="AA75" t="str">
        <f>IF(ISNUMBER(SEARCH("Junior",Scherpenzeel!E10)),Scherpenzeel!C10,"")</f>
        <v/>
      </c>
      <c r="AB75">
        <f>IF(AA75="",0,IF(COUNTIF($AA$1:AA75,AA75)=1,1,0))</f>
        <v>0</v>
      </c>
      <c r="AC75" t="str">
        <f>IF(AB75=1,COUNTIF($AB$1:AB75,1),"")</f>
        <v/>
      </c>
    </row>
    <row r="76" spans="1:29" x14ac:dyDescent="0.25">
      <c r="A76" s="13" t="str">
        <f>IFERROR(INDEX($AA$1:$AA$368,MATCH(73,$AC$1:$AC$368,0)),"")</f>
        <v/>
      </c>
      <c r="B76" s="13" t="str">
        <f>IF($A76="","",IF(IFERROR(INDEX(Barneveld!$E$4:$E$36,MATCH($A76,Barneveld!$C$4:$C$36,0)),"")&lt;&gt;"",IFERROR(INDEX(Barneveld!$E$4:$E$36,MATCH($A76,Barneveld!$C$4:$C$36,0)),""),IF(IFERROR(INDEX(Baarn!$F$4:$F$38,MATCH($A76,Baarn!$C$4:$C$38,0)),"")&lt;&gt;"",IFERROR(INDEX(Baarn!$F$4:$F$38,MATCH($A76,Baarn!$C$4:$C$38,0)),""),IF(IFERROR(INDEX(Scherpenzeel!$F$4:$F$103,MATCH($A76,Scherpenzeel!$C$4:$C$103,0)),"")&lt;&gt;"",IFERROR(INDEX(Scherpenzeel!$F$4:$F$103,MATCH($A76,Scherpenzeel!$C$4:$C$103,0)),""),IF(IFERROR(INDEX('4'!$F$4:$F$103,MATCH($A76,'4'!$C$4:$C$103,0)),"")&lt;&gt;"",IFERROR(INDEX('4'!$F$4:$F$103,MATCH($A76,'4'!$C$4:$C$103,0)),""),IFERROR(INDEX('5'!$F$4:$F$103,MATCH($A76,'5'!$C$4:$C$103,0)),""))))))</f>
        <v/>
      </c>
      <c r="C76" s="13" t="str">
        <f>IF($A76="","",IF(IFERROR(INDEX(Barneveld!$D$4:$D$36,MATCH($A76,Barneveld!$C$4:$C$36,0)),"")&lt;&gt;"",IFERROR(INDEX(Barneveld!$D$4:$D$36,MATCH($A76,Barneveld!$C$4:$C$36,0)),""),IF(IFERROR(INDEX(Baarn!$E$4:$E$38,MATCH($A76,Baarn!$C$4:$C$38,0)),"")&lt;&gt;"",IFERROR(INDEX(Baarn!$E$4:$E$38,MATCH($A76,Baarn!$C$4:$C$38,0)),""),IF(IFERROR(INDEX(Scherpenzeel!$E$4:$E$103,MATCH($A76,Scherpenzeel!$C$4:$C$103,0)),"")&lt;&gt;"",IFERROR(INDEX(Scherpenzeel!$E$4:$E$103,MATCH($A76,Scherpenzeel!$C$4:$C$103,0)),""),IF(IFERROR(INDEX('4'!$E$4:$E$103,MATCH($A76,'4'!$C$4:$C$103,0)),"")&lt;&gt;"",IFERROR(INDEX('4'!$E$4:$E$103,MATCH($A76,'4'!$C$4:$C$103,0)),""),IFERROR(INDEX('5'!$E$4:$E$103,MATCH($A76,'5'!$C$4:$C$103,0)),""))))))</f>
        <v/>
      </c>
      <c r="D76" s="24" t="str">
        <f>IF($A76="","",IFERROR(INDEX(Barneveld!$A$4:$A$36,MATCH($A76,Barneveld!$C$4:$C$36,0)),""))</f>
        <v/>
      </c>
      <c r="E76" s="15">
        <f>IF($A76="",0,IFERROR(INDEX(Barneveld!$H$4:$H$36,MATCH($A76,Barneveld!$C$4:$C$36,0)),0))</f>
        <v>0</v>
      </c>
      <c r="F76" s="24" t="str">
        <f>IF($A76="","",IFERROR(INDEX(Baarn!$A$4:$A$38,MATCH($A76,Baarn!$C$4:$C$38,0)),""))</f>
        <v/>
      </c>
      <c r="G76" s="15">
        <f>IF($A76="",0,IFERROR(INDEX(Baarn!$I$4:$I$38,MATCH($A76,Baarn!$C$4:$C$38,0)),0))</f>
        <v>0</v>
      </c>
      <c r="H76" s="24" t="str">
        <f>IF($A76="","",IFERROR(INDEX(Scherpenzeel!$A$4:$A$103,MATCH($A76,Scherpenzeel!$C$4:$C$103,0)),""))</f>
        <v/>
      </c>
      <c r="I76" s="15">
        <f>IF($A76="",0,IFERROR(INDEX(Scherpenzeel!$I$4:$I$103,MATCH($A76,Scherpenzeel!$C$4:$C$103,0)),0))</f>
        <v>0</v>
      </c>
      <c r="J76" s="24" t="str">
        <f>IF($A76="","",IFERROR(INDEX('4'!$A$4:$A$103,MATCH($A76,'4'!$C$4:$C$103,0)),""))</f>
        <v/>
      </c>
      <c r="K76" s="15">
        <f>IF($A76="",0,IFERROR(INDEX('4'!$I$4:$I$103,MATCH($A76,'4'!$C$4:$C$103,0)),0))</f>
        <v>0</v>
      </c>
      <c r="L76" s="24" t="str">
        <f>IF($A76="","",IFERROR(INDEX('5'!$A$4:$A$103,MATCH($A76,'5'!$C$4:$C$103,0)),""))</f>
        <v/>
      </c>
      <c r="M76" s="15">
        <f>IF($A76="",0,IFERROR(INDEX('5'!$I$4:$I$103,MATCH($A76,'5'!$C$4:$C$103,0)),0))</f>
        <v>0</v>
      </c>
      <c r="N76" s="25" t="str">
        <f t="shared" si="4"/>
        <v/>
      </c>
      <c r="O76" s="26" t="str">
        <f t="shared" si="5"/>
        <v/>
      </c>
      <c r="AA76" t="str">
        <f>IF(ISNUMBER(SEARCH("Junior",Scherpenzeel!E11)),Scherpenzeel!C11,"")</f>
        <v/>
      </c>
      <c r="AB76">
        <f>IF(AA76="",0,IF(COUNTIF($AA$1:AA76,AA76)=1,1,0))</f>
        <v>0</v>
      </c>
      <c r="AC76" t="str">
        <f>IF(AB76=1,COUNTIF($AB$1:AB76,1),"")</f>
        <v/>
      </c>
    </row>
    <row r="77" spans="1:29" x14ac:dyDescent="0.25">
      <c r="A77" s="13" t="str">
        <f>IFERROR(INDEX($AA$1:$AA$368,MATCH(74,$AC$1:$AC$368,0)),"")</f>
        <v/>
      </c>
      <c r="B77" s="13" t="str">
        <f>IF($A77="","",IF(IFERROR(INDEX(Barneveld!$E$4:$E$36,MATCH($A77,Barneveld!$C$4:$C$36,0)),"")&lt;&gt;"",IFERROR(INDEX(Barneveld!$E$4:$E$36,MATCH($A77,Barneveld!$C$4:$C$36,0)),""),IF(IFERROR(INDEX(Baarn!$F$4:$F$38,MATCH($A77,Baarn!$C$4:$C$38,0)),"")&lt;&gt;"",IFERROR(INDEX(Baarn!$F$4:$F$38,MATCH($A77,Baarn!$C$4:$C$38,0)),""),IF(IFERROR(INDEX(Scherpenzeel!$F$4:$F$103,MATCH($A77,Scherpenzeel!$C$4:$C$103,0)),"")&lt;&gt;"",IFERROR(INDEX(Scherpenzeel!$F$4:$F$103,MATCH($A77,Scherpenzeel!$C$4:$C$103,0)),""),IF(IFERROR(INDEX('4'!$F$4:$F$103,MATCH($A77,'4'!$C$4:$C$103,0)),"")&lt;&gt;"",IFERROR(INDEX('4'!$F$4:$F$103,MATCH($A77,'4'!$C$4:$C$103,0)),""),IFERROR(INDEX('5'!$F$4:$F$103,MATCH($A77,'5'!$C$4:$C$103,0)),""))))))</f>
        <v/>
      </c>
      <c r="C77" s="13" t="str">
        <f>IF($A77="","",IF(IFERROR(INDEX(Barneveld!$D$4:$D$36,MATCH($A77,Barneveld!$C$4:$C$36,0)),"")&lt;&gt;"",IFERROR(INDEX(Barneveld!$D$4:$D$36,MATCH($A77,Barneveld!$C$4:$C$36,0)),""),IF(IFERROR(INDEX(Baarn!$E$4:$E$38,MATCH($A77,Baarn!$C$4:$C$38,0)),"")&lt;&gt;"",IFERROR(INDEX(Baarn!$E$4:$E$38,MATCH($A77,Baarn!$C$4:$C$38,0)),""),IF(IFERROR(INDEX(Scherpenzeel!$E$4:$E$103,MATCH($A77,Scherpenzeel!$C$4:$C$103,0)),"")&lt;&gt;"",IFERROR(INDEX(Scherpenzeel!$E$4:$E$103,MATCH($A77,Scherpenzeel!$C$4:$C$103,0)),""),IF(IFERROR(INDEX('4'!$E$4:$E$103,MATCH($A77,'4'!$C$4:$C$103,0)),"")&lt;&gt;"",IFERROR(INDEX('4'!$E$4:$E$103,MATCH($A77,'4'!$C$4:$C$103,0)),""),IFERROR(INDEX('5'!$E$4:$E$103,MATCH($A77,'5'!$C$4:$C$103,0)),""))))))</f>
        <v/>
      </c>
      <c r="D77" s="24" t="str">
        <f>IF($A77="","",IFERROR(INDEX(Barneveld!$A$4:$A$36,MATCH($A77,Barneveld!$C$4:$C$36,0)),""))</f>
        <v/>
      </c>
      <c r="E77" s="15">
        <f>IF($A77="",0,IFERROR(INDEX(Barneveld!$H$4:$H$36,MATCH($A77,Barneveld!$C$4:$C$36,0)),0))</f>
        <v>0</v>
      </c>
      <c r="F77" s="24" t="str">
        <f>IF($A77="","",IFERROR(INDEX(Baarn!$A$4:$A$38,MATCH($A77,Baarn!$C$4:$C$38,0)),""))</f>
        <v/>
      </c>
      <c r="G77" s="15">
        <f>IF($A77="",0,IFERROR(INDEX(Baarn!$I$4:$I$38,MATCH($A77,Baarn!$C$4:$C$38,0)),0))</f>
        <v>0</v>
      </c>
      <c r="H77" s="24" t="str">
        <f>IF($A77="","",IFERROR(INDEX(Scherpenzeel!$A$4:$A$103,MATCH($A77,Scherpenzeel!$C$4:$C$103,0)),""))</f>
        <v/>
      </c>
      <c r="I77" s="15">
        <f>IF($A77="",0,IFERROR(INDEX(Scherpenzeel!$I$4:$I$103,MATCH($A77,Scherpenzeel!$C$4:$C$103,0)),0))</f>
        <v>0</v>
      </c>
      <c r="J77" s="24" t="str">
        <f>IF($A77="","",IFERROR(INDEX('4'!$A$4:$A$103,MATCH($A77,'4'!$C$4:$C$103,0)),""))</f>
        <v/>
      </c>
      <c r="K77" s="15">
        <f>IF($A77="",0,IFERROR(INDEX('4'!$I$4:$I$103,MATCH($A77,'4'!$C$4:$C$103,0)),0))</f>
        <v>0</v>
      </c>
      <c r="L77" s="24" t="str">
        <f>IF($A77="","",IFERROR(INDEX('5'!$A$4:$A$103,MATCH($A77,'5'!$C$4:$C$103,0)),""))</f>
        <v/>
      </c>
      <c r="M77" s="15">
        <f>IF($A77="",0,IFERROR(INDEX('5'!$I$4:$I$103,MATCH($A77,'5'!$C$4:$C$103,0)),0))</f>
        <v>0</v>
      </c>
      <c r="N77" s="25" t="str">
        <f t="shared" si="4"/>
        <v/>
      </c>
      <c r="O77" s="26" t="str">
        <f t="shared" si="5"/>
        <v/>
      </c>
      <c r="AA77" t="str">
        <f>IF(ISNUMBER(SEARCH("Junior",Scherpenzeel!E12)),Scherpenzeel!C12,"")</f>
        <v/>
      </c>
      <c r="AB77">
        <f>IF(AA77="",0,IF(COUNTIF($AA$1:AA77,AA77)=1,1,0))</f>
        <v>0</v>
      </c>
      <c r="AC77" t="str">
        <f>IF(AB77=1,COUNTIF($AB$1:AB77,1),"")</f>
        <v/>
      </c>
    </row>
    <row r="78" spans="1:29" x14ac:dyDescent="0.25">
      <c r="A78" s="13" t="str">
        <f>IFERROR(INDEX($AA$1:$AA$368,MATCH(75,$AC$1:$AC$368,0)),"")</f>
        <v/>
      </c>
      <c r="B78" s="13" t="str">
        <f>IF($A78="","",IF(IFERROR(INDEX(Barneveld!$E$4:$E$36,MATCH($A78,Barneveld!$C$4:$C$36,0)),"")&lt;&gt;"",IFERROR(INDEX(Barneveld!$E$4:$E$36,MATCH($A78,Barneveld!$C$4:$C$36,0)),""),IF(IFERROR(INDEX(Baarn!$F$4:$F$38,MATCH($A78,Baarn!$C$4:$C$38,0)),"")&lt;&gt;"",IFERROR(INDEX(Baarn!$F$4:$F$38,MATCH($A78,Baarn!$C$4:$C$38,0)),""),IF(IFERROR(INDEX(Scherpenzeel!$F$4:$F$103,MATCH($A78,Scherpenzeel!$C$4:$C$103,0)),"")&lt;&gt;"",IFERROR(INDEX(Scherpenzeel!$F$4:$F$103,MATCH($A78,Scherpenzeel!$C$4:$C$103,0)),""),IF(IFERROR(INDEX('4'!$F$4:$F$103,MATCH($A78,'4'!$C$4:$C$103,0)),"")&lt;&gt;"",IFERROR(INDEX('4'!$F$4:$F$103,MATCH($A78,'4'!$C$4:$C$103,0)),""),IFERROR(INDEX('5'!$F$4:$F$103,MATCH($A78,'5'!$C$4:$C$103,0)),""))))))</f>
        <v/>
      </c>
      <c r="C78" s="13" t="str">
        <f>IF($A78="","",IF(IFERROR(INDEX(Barneveld!$D$4:$D$36,MATCH($A78,Barneveld!$C$4:$C$36,0)),"")&lt;&gt;"",IFERROR(INDEX(Barneveld!$D$4:$D$36,MATCH($A78,Barneveld!$C$4:$C$36,0)),""),IF(IFERROR(INDEX(Baarn!$E$4:$E$38,MATCH($A78,Baarn!$C$4:$C$38,0)),"")&lt;&gt;"",IFERROR(INDEX(Baarn!$E$4:$E$38,MATCH($A78,Baarn!$C$4:$C$38,0)),""),IF(IFERROR(INDEX(Scherpenzeel!$E$4:$E$103,MATCH($A78,Scherpenzeel!$C$4:$C$103,0)),"")&lt;&gt;"",IFERROR(INDEX(Scherpenzeel!$E$4:$E$103,MATCH($A78,Scherpenzeel!$C$4:$C$103,0)),""),IF(IFERROR(INDEX('4'!$E$4:$E$103,MATCH($A78,'4'!$C$4:$C$103,0)),"")&lt;&gt;"",IFERROR(INDEX('4'!$E$4:$E$103,MATCH($A78,'4'!$C$4:$C$103,0)),""),IFERROR(INDEX('5'!$E$4:$E$103,MATCH($A78,'5'!$C$4:$C$103,0)),""))))))</f>
        <v/>
      </c>
      <c r="D78" s="24" t="str">
        <f>IF($A78="","",IFERROR(INDEX(Barneveld!$A$4:$A$36,MATCH($A78,Barneveld!$C$4:$C$36,0)),""))</f>
        <v/>
      </c>
      <c r="E78" s="15">
        <f>IF($A78="",0,IFERROR(INDEX(Barneveld!$H$4:$H$36,MATCH($A78,Barneveld!$C$4:$C$36,0)),0))</f>
        <v>0</v>
      </c>
      <c r="F78" s="24" t="str">
        <f>IF($A78="","",IFERROR(INDEX(Baarn!$A$4:$A$38,MATCH($A78,Baarn!$C$4:$C$38,0)),""))</f>
        <v/>
      </c>
      <c r="G78" s="15">
        <f>IF($A78="",0,IFERROR(INDEX(Baarn!$I$4:$I$38,MATCH($A78,Baarn!$C$4:$C$38,0)),0))</f>
        <v>0</v>
      </c>
      <c r="H78" s="24" t="str">
        <f>IF($A78="","",IFERROR(INDEX(Scherpenzeel!$A$4:$A$103,MATCH($A78,Scherpenzeel!$C$4:$C$103,0)),""))</f>
        <v/>
      </c>
      <c r="I78" s="15">
        <f>IF($A78="",0,IFERROR(INDEX(Scherpenzeel!$I$4:$I$103,MATCH($A78,Scherpenzeel!$C$4:$C$103,0)),0))</f>
        <v>0</v>
      </c>
      <c r="J78" s="24" t="str">
        <f>IF($A78="","",IFERROR(INDEX('4'!$A$4:$A$103,MATCH($A78,'4'!$C$4:$C$103,0)),""))</f>
        <v/>
      </c>
      <c r="K78" s="15">
        <f>IF($A78="",0,IFERROR(INDEX('4'!$I$4:$I$103,MATCH($A78,'4'!$C$4:$C$103,0)),0))</f>
        <v>0</v>
      </c>
      <c r="L78" s="24" t="str">
        <f>IF($A78="","",IFERROR(INDEX('5'!$A$4:$A$103,MATCH($A78,'5'!$C$4:$C$103,0)),""))</f>
        <v/>
      </c>
      <c r="M78" s="15">
        <f>IF($A78="",0,IFERROR(INDEX('5'!$I$4:$I$103,MATCH($A78,'5'!$C$4:$C$103,0)),0))</f>
        <v>0</v>
      </c>
      <c r="N78" s="25" t="str">
        <f t="shared" si="4"/>
        <v/>
      </c>
      <c r="O78" s="26" t="str">
        <f t="shared" si="5"/>
        <v/>
      </c>
      <c r="AA78" t="str">
        <f>IF(ISNUMBER(SEARCH("Junior",Scherpenzeel!E13)),Scherpenzeel!C13,"")</f>
        <v/>
      </c>
      <c r="AB78">
        <f>IF(AA78="",0,IF(COUNTIF($AA$1:AA78,AA78)=1,1,0))</f>
        <v>0</v>
      </c>
      <c r="AC78" t="str">
        <f>IF(AB78=1,COUNTIF($AB$1:AB78,1),"")</f>
        <v/>
      </c>
    </row>
    <row r="79" spans="1:29" x14ac:dyDescent="0.25">
      <c r="A79" s="13" t="str">
        <f>IFERROR(INDEX($AA$1:$AA$368,MATCH(76,$AC$1:$AC$368,0)),"")</f>
        <v/>
      </c>
      <c r="B79" s="13" t="str">
        <f>IF($A79="","",IF(IFERROR(INDEX(Barneveld!$E$4:$E$36,MATCH($A79,Barneveld!$C$4:$C$36,0)),"")&lt;&gt;"",IFERROR(INDEX(Barneveld!$E$4:$E$36,MATCH($A79,Barneveld!$C$4:$C$36,0)),""),IF(IFERROR(INDEX(Baarn!$F$4:$F$38,MATCH($A79,Baarn!$C$4:$C$38,0)),"")&lt;&gt;"",IFERROR(INDEX(Baarn!$F$4:$F$38,MATCH($A79,Baarn!$C$4:$C$38,0)),""),IF(IFERROR(INDEX(Scherpenzeel!$F$4:$F$103,MATCH($A79,Scherpenzeel!$C$4:$C$103,0)),"")&lt;&gt;"",IFERROR(INDEX(Scherpenzeel!$F$4:$F$103,MATCH($A79,Scherpenzeel!$C$4:$C$103,0)),""),IF(IFERROR(INDEX('4'!$F$4:$F$103,MATCH($A79,'4'!$C$4:$C$103,0)),"")&lt;&gt;"",IFERROR(INDEX('4'!$F$4:$F$103,MATCH($A79,'4'!$C$4:$C$103,0)),""),IFERROR(INDEX('5'!$F$4:$F$103,MATCH($A79,'5'!$C$4:$C$103,0)),""))))))</f>
        <v/>
      </c>
      <c r="C79" s="13" t="str">
        <f>IF($A79="","",IF(IFERROR(INDEX(Barneveld!$D$4:$D$36,MATCH($A79,Barneveld!$C$4:$C$36,0)),"")&lt;&gt;"",IFERROR(INDEX(Barneveld!$D$4:$D$36,MATCH($A79,Barneveld!$C$4:$C$36,0)),""),IF(IFERROR(INDEX(Baarn!$E$4:$E$38,MATCH($A79,Baarn!$C$4:$C$38,0)),"")&lt;&gt;"",IFERROR(INDEX(Baarn!$E$4:$E$38,MATCH($A79,Baarn!$C$4:$C$38,0)),""),IF(IFERROR(INDEX(Scherpenzeel!$E$4:$E$103,MATCH($A79,Scherpenzeel!$C$4:$C$103,0)),"")&lt;&gt;"",IFERROR(INDEX(Scherpenzeel!$E$4:$E$103,MATCH($A79,Scherpenzeel!$C$4:$C$103,0)),""),IF(IFERROR(INDEX('4'!$E$4:$E$103,MATCH($A79,'4'!$C$4:$C$103,0)),"")&lt;&gt;"",IFERROR(INDEX('4'!$E$4:$E$103,MATCH($A79,'4'!$C$4:$C$103,0)),""),IFERROR(INDEX('5'!$E$4:$E$103,MATCH($A79,'5'!$C$4:$C$103,0)),""))))))</f>
        <v/>
      </c>
      <c r="D79" s="24" t="str">
        <f>IF($A79="","",IFERROR(INDEX(Barneveld!$A$4:$A$36,MATCH($A79,Barneveld!$C$4:$C$36,0)),""))</f>
        <v/>
      </c>
      <c r="E79" s="15">
        <f>IF($A79="",0,IFERROR(INDEX(Barneveld!$H$4:$H$36,MATCH($A79,Barneveld!$C$4:$C$36,0)),0))</f>
        <v>0</v>
      </c>
      <c r="F79" s="24" t="str">
        <f>IF($A79="","",IFERROR(INDEX(Baarn!$A$4:$A$38,MATCH($A79,Baarn!$C$4:$C$38,0)),""))</f>
        <v/>
      </c>
      <c r="G79" s="15">
        <f>IF($A79="",0,IFERROR(INDEX(Baarn!$I$4:$I$38,MATCH($A79,Baarn!$C$4:$C$38,0)),0))</f>
        <v>0</v>
      </c>
      <c r="H79" s="24" t="str">
        <f>IF($A79="","",IFERROR(INDEX(Scherpenzeel!$A$4:$A$103,MATCH($A79,Scherpenzeel!$C$4:$C$103,0)),""))</f>
        <v/>
      </c>
      <c r="I79" s="15">
        <f>IF($A79="",0,IFERROR(INDEX(Scherpenzeel!$I$4:$I$103,MATCH($A79,Scherpenzeel!$C$4:$C$103,0)),0))</f>
        <v>0</v>
      </c>
      <c r="J79" s="24" t="str">
        <f>IF($A79="","",IFERROR(INDEX('4'!$A$4:$A$103,MATCH($A79,'4'!$C$4:$C$103,0)),""))</f>
        <v/>
      </c>
      <c r="K79" s="15">
        <f>IF($A79="",0,IFERROR(INDEX('4'!$I$4:$I$103,MATCH($A79,'4'!$C$4:$C$103,0)),0))</f>
        <v>0</v>
      </c>
      <c r="L79" s="24" t="str">
        <f>IF($A79="","",IFERROR(INDEX('5'!$A$4:$A$103,MATCH($A79,'5'!$C$4:$C$103,0)),""))</f>
        <v/>
      </c>
      <c r="M79" s="15">
        <f>IF($A79="",0,IFERROR(INDEX('5'!$I$4:$I$103,MATCH($A79,'5'!$C$4:$C$103,0)),0))</f>
        <v>0</v>
      </c>
      <c r="N79" s="25" t="str">
        <f t="shared" si="4"/>
        <v/>
      </c>
      <c r="O79" s="26" t="str">
        <f t="shared" si="5"/>
        <v/>
      </c>
      <c r="AA79" t="str">
        <f>IF(ISNUMBER(SEARCH("Junior",Scherpenzeel!E14)),Scherpenzeel!C14,"")</f>
        <v/>
      </c>
      <c r="AB79">
        <f>IF(AA79="",0,IF(COUNTIF($AA$1:AA79,AA79)=1,1,0))</f>
        <v>0</v>
      </c>
      <c r="AC79" t="str">
        <f>IF(AB79=1,COUNTIF($AB$1:AB79,1),"")</f>
        <v/>
      </c>
    </row>
    <row r="80" spans="1:29" x14ac:dyDescent="0.25">
      <c r="A80" s="13" t="str">
        <f>IFERROR(INDEX($AA$1:$AA$368,MATCH(77,$AC$1:$AC$368,0)),"")</f>
        <v/>
      </c>
      <c r="B80" s="13" t="str">
        <f>IF($A80="","",IF(IFERROR(INDEX(Barneveld!$E$4:$E$36,MATCH($A80,Barneveld!$C$4:$C$36,0)),"")&lt;&gt;"",IFERROR(INDEX(Barneveld!$E$4:$E$36,MATCH($A80,Barneveld!$C$4:$C$36,0)),""),IF(IFERROR(INDEX(Baarn!$F$4:$F$38,MATCH($A80,Baarn!$C$4:$C$38,0)),"")&lt;&gt;"",IFERROR(INDEX(Baarn!$F$4:$F$38,MATCH($A80,Baarn!$C$4:$C$38,0)),""),IF(IFERROR(INDEX(Scherpenzeel!$F$4:$F$103,MATCH($A80,Scherpenzeel!$C$4:$C$103,0)),"")&lt;&gt;"",IFERROR(INDEX(Scherpenzeel!$F$4:$F$103,MATCH($A80,Scherpenzeel!$C$4:$C$103,0)),""),IF(IFERROR(INDEX('4'!$F$4:$F$103,MATCH($A80,'4'!$C$4:$C$103,0)),"")&lt;&gt;"",IFERROR(INDEX('4'!$F$4:$F$103,MATCH($A80,'4'!$C$4:$C$103,0)),""),IFERROR(INDEX('5'!$F$4:$F$103,MATCH($A80,'5'!$C$4:$C$103,0)),""))))))</f>
        <v/>
      </c>
      <c r="C80" s="13" t="str">
        <f>IF($A80="","",IF(IFERROR(INDEX(Barneveld!$D$4:$D$36,MATCH($A80,Barneveld!$C$4:$C$36,0)),"")&lt;&gt;"",IFERROR(INDEX(Barneveld!$D$4:$D$36,MATCH($A80,Barneveld!$C$4:$C$36,0)),""),IF(IFERROR(INDEX(Baarn!$E$4:$E$38,MATCH($A80,Baarn!$C$4:$C$38,0)),"")&lt;&gt;"",IFERROR(INDEX(Baarn!$E$4:$E$38,MATCH($A80,Baarn!$C$4:$C$38,0)),""),IF(IFERROR(INDEX(Scherpenzeel!$E$4:$E$103,MATCH($A80,Scherpenzeel!$C$4:$C$103,0)),"")&lt;&gt;"",IFERROR(INDEX(Scherpenzeel!$E$4:$E$103,MATCH($A80,Scherpenzeel!$C$4:$C$103,0)),""),IF(IFERROR(INDEX('4'!$E$4:$E$103,MATCH($A80,'4'!$C$4:$C$103,0)),"")&lt;&gt;"",IFERROR(INDEX('4'!$E$4:$E$103,MATCH($A80,'4'!$C$4:$C$103,0)),""),IFERROR(INDEX('5'!$E$4:$E$103,MATCH($A80,'5'!$C$4:$C$103,0)),""))))))</f>
        <v/>
      </c>
      <c r="D80" s="24" t="str">
        <f>IF($A80="","",IFERROR(INDEX(Barneveld!$A$4:$A$36,MATCH($A80,Barneveld!$C$4:$C$36,0)),""))</f>
        <v/>
      </c>
      <c r="E80" s="15">
        <f>IF($A80="",0,IFERROR(INDEX(Barneveld!$H$4:$H$36,MATCH($A80,Barneveld!$C$4:$C$36,0)),0))</f>
        <v>0</v>
      </c>
      <c r="F80" s="24" t="str">
        <f>IF($A80="","",IFERROR(INDEX(Baarn!$A$4:$A$38,MATCH($A80,Baarn!$C$4:$C$38,0)),""))</f>
        <v/>
      </c>
      <c r="G80" s="15">
        <f>IF($A80="",0,IFERROR(INDEX(Baarn!$I$4:$I$38,MATCH($A80,Baarn!$C$4:$C$38,0)),0))</f>
        <v>0</v>
      </c>
      <c r="H80" s="24" t="str">
        <f>IF($A80="","",IFERROR(INDEX(Scherpenzeel!$A$4:$A$103,MATCH($A80,Scherpenzeel!$C$4:$C$103,0)),""))</f>
        <v/>
      </c>
      <c r="I80" s="15">
        <f>IF($A80="",0,IFERROR(INDEX(Scherpenzeel!$I$4:$I$103,MATCH($A80,Scherpenzeel!$C$4:$C$103,0)),0))</f>
        <v>0</v>
      </c>
      <c r="J80" s="24" t="str">
        <f>IF($A80="","",IFERROR(INDEX('4'!$A$4:$A$103,MATCH($A80,'4'!$C$4:$C$103,0)),""))</f>
        <v/>
      </c>
      <c r="K80" s="15">
        <f>IF($A80="",0,IFERROR(INDEX('4'!$I$4:$I$103,MATCH($A80,'4'!$C$4:$C$103,0)),0))</f>
        <v>0</v>
      </c>
      <c r="L80" s="24" t="str">
        <f>IF($A80="","",IFERROR(INDEX('5'!$A$4:$A$103,MATCH($A80,'5'!$C$4:$C$103,0)),""))</f>
        <v/>
      </c>
      <c r="M80" s="15">
        <f>IF($A80="",0,IFERROR(INDEX('5'!$I$4:$I$103,MATCH($A80,'5'!$C$4:$C$103,0)),0))</f>
        <v>0</v>
      </c>
      <c r="N80" s="25" t="str">
        <f t="shared" si="4"/>
        <v/>
      </c>
      <c r="O80" s="26" t="str">
        <f t="shared" si="5"/>
        <v/>
      </c>
      <c r="AA80" t="str">
        <f>IF(ISNUMBER(SEARCH("Junior",Scherpenzeel!E15)),Scherpenzeel!C15,"")</f>
        <v>Laurens Dijkstra</v>
      </c>
      <c r="AB80">
        <f>IF(AA80="",0,IF(COUNTIF($AA$1:AA80,AA80)=1,1,0))</f>
        <v>1</v>
      </c>
      <c r="AC80">
        <f>IF(AB80=1,COUNTIF($AB$1:AB80,1),"")</f>
        <v>15</v>
      </c>
    </row>
    <row r="81" spans="1:29" x14ac:dyDescent="0.25">
      <c r="A81" s="13" t="str">
        <f>IFERROR(INDEX($AA$1:$AA$368,MATCH(78,$AC$1:$AC$368,0)),"")</f>
        <v/>
      </c>
      <c r="B81" s="13" t="str">
        <f>IF($A81="","",IF(IFERROR(INDEX(Barneveld!$E$4:$E$36,MATCH($A81,Barneveld!$C$4:$C$36,0)),"")&lt;&gt;"",IFERROR(INDEX(Barneveld!$E$4:$E$36,MATCH($A81,Barneveld!$C$4:$C$36,0)),""),IF(IFERROR(INDEX(Baarn!$F$4:$F$38,MATCH($A81,Baarn!$C$4:$C$38,0)),"")&lt;&gt;"",IFERROR(INDEX(Baarn!$F$4:$F$38,MATCH($A81,Baarn!$C$4:$C$38,0)),""),IF(IFERROR(INDEX(Scherpenzeel!$F$4:$F$103,MATCH($A81,Scherpenzeel!$C$4:$C$103,0)),"")&lt;&gt;"",IFERROR(INDEX(Scherpenzeel!$F$4:$F$103,MATCH($A81,Scherpenzeel!$C$4:$C$103,0)),""),IF(IFERROR(INDEX('4'!$F$4:$F$103,MATCH($A81,'4'!$C$4:$C$103,0)),"")&lt;&gt;"",IFERROR(INDEX('4'!$F$4:$F$103,MATCH($A81,'4'!$C$4:$C$103,0)),""),IFERROR(INDEX('5'!$F$4:$F$103,MATCH($A81,'5'!$C$4:$C$103,0)),""))))))</f>
        <v/>
      </c>
      <c r="C81" s="13" t="str">
        <f>IF($A81="","",IF(IFERROR(INDEX(Barneveld!$D$4:$D$36,MATCH($A81,Barneveld!$C$4:$C$36,0)),"")&lt;&gt;"",IFERROR(INDEX(Barneveld!$D$4:$D$36,MATCH($A81,Barneveld!$C$4:$C$36,0)),""),IF(IFERROR(INDEX(Baarn!$E$4:$E$38,MATCH($A81,Baarn!$C$4:$C$38,0)),"")&lt;&gt;"",IFERROR(INDEX(Baarn!$E$4:$E$38,MATCH($A81,Baarn!$C$4:$C$38,0)),""),IF(IFERROR(INDEX(Scherpenzeel!$E$4:$E$103,MATCH($A81,Scherpenzeel!$C$4:$C$103,0)),"")&lt;&gt;"",IFERROR(INDEX(Scherpenzeel!$E$4:$E$103,MATCH($A81,Scherpenzeel!$C$4:$C$103,0)),""),IF(IFERROR(INDEX('4'!$E$4:$E$103,MATCH($A81,'4'!$C$4:$C$103,0)),"")&lt;&gt;"",IFERROR(INDEX('4'!$E$4:$E$103,MATCH($A81,'4'!$C$4:$C$103,0)),""),IFERROR(INDEX('5'!$E$4:$E$103,MATCH($A81,'5'!$C$4:$C$103,0)),""))))))</f>
        <v/>
      </c>
      <c r="D81" s="24" t="str">
        <f>IF($A81="","",IFERROR(INDEX(Barneveld!$A$4:$A$36,MATCH($A81,Barneveld!$C$4:$C$36,0)),""))</f>
        <v/>
      </c>
      <c r="E81" s="15">
        <f>IF($A81="",0,IFERROR(INDEX(Barneveld!$H$4:$H$36,MATCH($A81,Barneveld!$C$4:$C$36,0)),0))</f>
        <v>0</v>
      </c>
      <c r="F81" s="24" t="str">
        <f>IF($A81="","",IFERROR(INDEX(Baarn!$A$4:$A$38,MATCH($A81,Baarn!$C$4:$C$38,0)),""))</f>
        <v/>
      </c>
      <c r="G81" s="15">
        <f>IF($A81="",0,IFERROR(INDEX(Baarn!$I$4:$I$38,MATCH($A81,Baarn!$C$4:$C$38,0)),0))</f>
        <v>0</v>
      </c>
      <c r="H81" s="24" t="str">
        <f>IF($A81="","",IFERROR(INDEX(Scherpenzeel!$A$4:$A$103,MATCH($A81,Scherpenzeel!$C$4:$C$103,0)),""))</f>
        <v/>
      </c>
      <c r="I81" s="15">
        <f>IF($A81="",0,IFERROR(INDEX(Scherpenzeel!$I$4:$I$103,MATCH($A81,Scherpenzeel!$C$4:$C$103,0)),0))</f>
        <v>0</v>
      </c>
      <c r="J81" s="24" t="str">
        <f>IF($A81="","",IFERROR(INDEX('4'!$A$4:$A$103,MATCH($A81,'4'!$C$4:$C$103,0)),""))</f>
        <v/>
      </c>
      <c r="K81" s="15">
        <f>IF($A81="",0,IFERROR(INDEX('4'!$I$4:$I$103,MATCH($A81,'4'!$C$4:$C$103,0)),0))</f>
        <v>0</v>
      </c>
      <c r="L81" s="24" t="str">
        <f>IF($A81="","",IFERROR(INDEX('5'!$A$4:$A$103,MATCH($A81,'5'!$C$4:$C$103,0)),""))</f>
        <v/>
      </c>
      <c r="M81" s="15">
        <f>IF($A81="",0,IFERROR(INDEX('5'!$I$4:$I$103,MATCH($A81,'5'!$C$4:$C$103,0)),0))</f>
        <v>0</v>
      </c>
      <c r="N81" s="25" t="str">
        <f t="shared" si="4"/>
        <v/>
      </c>
      <c r="O81" s="26" t="str">
        <f t="shared" si="5"/>
        <v/>
      </c>
      <c r="AA81" t="str">
        <f>IF(ISNUMBER(SEARCH("Junior",Scherpenzeel!E16)),Scherpenzeel!C16,"")</f>
        <v/>
      </c>
      <c r="AB81">
        <f>IF(AA81="",0,IF(COUNTIF($AA$1:AA81,AA81)=1,1,0))</f>
        <v>0</v>
      </c>
      <c r="AC81" t="str">
        <f>IF(AB81=1,COUNTIF($AB$1:AB81,1),"")</f>
        <v/>
      </c>
    </row>
    <row r="82" spans="1:29" x14ac:dyDescent="0.25">
      <c r="A82" s="13" t="str">
        <f>IFERROR(INDEX($AA$1:$AA$368,MATCH(79,$AC$1:$AC$368,0)),"")</f>
        <v/>
      </c>
      <c r="B82" s="13" t="str">
        <f>IF($A82="","",IF(IFERROR(INDEX(Barneveld!$E$4:$E$36,MATCH($A82,Barneveld!$C$4:$C$36,0)),"")&lt;&gt;"",IFERROR(INDEX(Barneveld!$E$4:$E$36,MATCH($A82,Barneveld!$C$4:$C$36,0)),""),IF(IFERROR(INDEX(Baarn!$F$4:$F$38,MATCH($A82,Baarn!$C$4:$C$38,0)),"")&lt;&gt;"",IFERROR(INDEX(Baarn!$F$4:$F$38,MATCH($A82,Baarn!$C$4:$C$38,0)),""),IF(IFERROR(INDEX(Scherpenzeel!$F$4:$F$103,MATCH($A82,Scherpenzeel!$C$4:$C$103,0)),"")&lt;&gt;"",IFERROR(INDEX(Scherpenzeel!$F$4:$F$103,MATCH($A82,Scherpenzeel!$C$4:$C$103,0)),""),IF(IFERROR(INDEX('4'!$F$4:$F$103,MATCH($A82,'4'!$C$4:$C$103,0)),"")&lt;&gt;"",IFERROR(INDEX('4'!$F$4:$F$103,MATCH($A82,'4'!$C$4:$C$103,0)),""),IFERROR(INDEX('5'!$F$4:$F$103,MATCH($A82,'5'!$C$4:$C$103,0)),""))))))</f>
        <v/>
      </c>
      <c r="C82" s="13" t="str">
        <f>IF($A82="","",IF(IFERROR(INDEX(Barneveld!$D$4:$D$36,MATCH($A82,Barneveld!$C$4:$C$36,0)),"")&lt;&gt;"",IFERROR(INDEX(Barneveld!$D$4:$D$36,MATCH($A82,Barneveld!$C$4:$C$36,0)),""),IF(IFERROR(INDEX(Baarn!$E$4:$E$38,MATCH($A82,Baarn!$C$4:$C$38,0)),"")&lt;&gt;"",IFERROR(INDEX(Baarn!$E$4:$E$38,MATCH($A82,Baarn!$C$4:$C$38,0)),""),IF(IFERROR(INDEX(Scherpenzeel!$E$4:$E$103,MATCH($A82,Scherpenzeel!$C$4:$C$103,0)),"")&lt;&gt;"",IFERROR(INDEX(Scherpenzeel!$E$4:$E$103,MATCH($A82,Scherpenzeel!$C$4:$C$103,0)),""),IF(IFERROR(INDEX('4'!$E$4:$E$103,MATCH($A82,'4'!$C$4:$C$103,0)),"")&lt;&gt;"",IFERROR(INDEX('4'!$E$4:$E$103,MATCH($A82,'4'!$C$4:$C$103,0)),""),IFERROR(INDEX('5'!$E$4:$E$103,MATCH($A82,'5'!$C$4:$C$103,0)),""))))))</f>
        <v/>
      </c>
      <c r="D82" s="24" t="str">
        <f>IF($A82="","",IFERROR(INDEX(Barneveld!$A$4:$A$36,MATCH($A82,Barneveld!$C$4:$C$36,0)),""))</f>
        <v/>
      </c>
      <c r="E82" s="15">
        <f>IF($A82="",0,IFERROR(INDEX(Barneveld!$H$4:$H$36,MATCH($A82,Barneveld!$C$4:$C$36,0)),0))</f>
        <v>0</v>
      </c>
      <c r="F82" s="24" t="str">
        <f>IF($A82="","",IFERROR(INDEX(Baarn!$A$4:$A$38,MATCH($A82,Baarn!$C$4:$C$38,0)),""))</f>
        <v/>
      </c>
      <c r="G82" s="15">
        <f>IF($A82="",0,IFERROR(INDEX(Baarn!$I$4:$I$38,MATCH($A82,Baarn!$C$4:$C$38,0)),0))</f>
        <v>0</v>
      </c>
      <c r="H82" s="24" t="str">
        <f>IF($A82="","",IFERROR(INDEX(Scherpenzeel!$A$4:$A$103,MATCH($A82,Scherpenzeel!$C$4:$C$103,0)),""))</f>
        <v/>
      </c>
      <c r="I82" s="15">
        <f>IF($A82="",0,IFERROR(INDEX(Scherpenzeel!$I$4:$I$103,MATCH($A82,Scherpenzeel!$C$4:$C$103,0)),0))</f>
        <v>0</v>
      </c>
      <c r="J82" s="24" t="str">
        <f>IF($A82="","",IFERROR(INDEX('4'!$A$4:$A$103,MATCH($A82,'4'!$C$4:$C$103,0)),""))</f>
        <v/>
      </c>
      <c r="K82" s="15">
        <f>IF($A82="",0,IFERROR(INDEX('4'!$I$4:$I$103,MATCH($A82,'4'!$C$4:$C$103,0)),0))</f>
        <v>0</v>
      </c>
      <c r="L82" s="24" t="str">
        <f>IF($A82="","",IFERROR(INDEX('5'!$A$4:$A$103,MATCH($A82,'5'!$C$4:$C$103,0)),""))</f>
        <v/>
      </c>
      <c r="M82" s="15">
        <f>IF($A82="",0,IFERROR(INDEX('5'!$I$4:$I$103,MATCH($A82,'5'!$C$4:$C$103,0)),0))</f>
        <v>0</v>
      </c>
      <c r="N82" s="25" t="str">
        <f t="shared" si="4"/>
        <v/>
      </c>
      <c r="O82" s="26" t="str">
        <f t="shared" si="5"/>
        <v/>
      </c>
      <c r="AA82" t="str">
        <f>IF(ISNUMBER(SEARCH("Junior",Scherpenzeel!E17)),Scherpenzeel!C17,"")</f>
        <v/>
      </c>
      <c r="AB82">
        <f>IF(AA82="",0,IF(COUNTIF($AA$1:AA82,AA82)=1,1,0))</f>
        <v>0</v>
      </c>
      <c r="AC82" t="str">
        <f>IF(AB82=1,COUNTIF($AB$1:AB82,1),"")</f>
        <v/>
      </c>
    </row>
    <row r="83" spans="1:29" x14ac:dyDescent="0.25">
      <c r="A83" s="13" t="str">
        <f>IFERROR(INDEX($AA$1:$AA$368,MATCH(80,$AC$1:$AC$368,0)),"")</f>
        <v/>
      </c>
      <c r="B83" s="13" t="str">
        <f>IF($A83="","",IF(IFERROR(INDEX(Barneveld!$E$4:$E$36,MATCH($A83,Barneveld!$C$4:$C$36,0)),"")&lt;&gt;"",IFERROR(INDEX(Barneveld!$E$4:$E$36,MATCH($A83,Barneveld!$C$4:$C$36,0)),""),IF(IFERROR(INDEX(Baarn!$F$4:$F$38,MATCH($A83,Baarn!$C$4:$C$38,0)),"")&lt;&gt;"",IFERROR(INDEX(Baarn!$F$4:$F$38,MATCH($A83,Baarn!$C$4:$C$38,0)),""),IF(IFERROR(INDEX(Scherpenzeel!$F$4:$F$103,MATCH($A83,Scherpenzeel!$C$4:$C$103,0)),"")&lt;&gt;"",IFERROR(INDEX(Scherpenzeel!$F$4:$F$103,MATCH($A83,Scherpenzeel!$C$4:$C$103,0)),""),IF(IFERROR(INDEX('4'!$F$4:$F$103,MATCH($A83,'4'!$C$4:$C$103,0)),"")&lt;&gt;"",IFERROR(INDEX('4'!$F$4:$F$103,MATCH($A83,'4'!$C$4:$C$103,0)),""),IFERROR(INDEX('5'!$F$4:$F$103,MATCH($A83,'5'!$C$4:$C$103,0)),""))))))</f>
        <v/>
      </c>
      <c r="C83" s="13" t="str">
        <f>IF($A83="","",IF(IFERROR(INDEX(Barneveld!$D$4:$D$36,MATCH($A83,Barneveld!$C$4:$C$36,0)),"")&lt;&gt;"",IFERROR(INDEX(Barneveld!$D$4:$D$36,MATCH($A83,Barneveld!$C$4:$C$36,0)),""),IF(IFERROR(INDEX(Baarn!$E$4:$E$38,MATCH($A83,Baarn!$C$4:$C$38,0)),"")&lt;&gt;"",IFERROR(INDEX(Baarn!$E$4:$E$38,MATCH($A83,Baarn!$C$4:$C$38,0)),""),IF(IFERROR(INDEX(Scherpenzeel!$E$4:$E$103,MATCH($A83,Scherpenzeel!$C$4:$C$103,0)),"")&lt;&gt;"",IFERROR(INDEX(Scherpenzeel!$E$4:$E$103,MATCH($A83,Scherpenzeel!$C$4:$C$103,0)),""),IF(IFERROR(INDEX('4'!$E$4:$E$103,MATCH($A83,'4'!$C$4:$C$103,0)),"")&lt;&gt;"",IFERROR(INDEX('4'!$E$4:$E$103,MATCH($A83,'4'!$C$4:$C$103,0)),""),IFERROR(INDEX('5'!$E$4:$E$103,MATCH($A83,'5'!$C$4:$C$103,0)),""))))))</f>
        <v/>
      </c>
      <c r="D83" s="24" t="str">
        <f>IF($A83="","",IFERROR(INDEX(Barneveld!$A$4:$A$36,MATCH($A83,Barneveld!$C$4:$C$36,0)),""))</f>
        <v/>
      </c>
      <c r="E83" s="15">
        <f>IF($A83="",0,IFERROR(INDEX(Barneveld!$H$4:$H$36,MATCH($A83,Barneveld!$C$4:$C$36,0)),0))</f>
        <v>0</v>
      </c>
      <c r="F83" s="24" t="str">
        <f>IF($A83="","",IFERROR(INDEX(Baarn!$A$4:$A$38,MATCH($A83,Baarn!$C$4:$C$38,0)),""))</f>
        <v/>
      </c>
      <c r="G83" s="15">
        <f>IF($A83="",0,IFERROR(INDEX(Baarn!$I$4:$I$38,MATCH($A83,Baarn!$C$4:$C$38,0)),0))</f>
        <v>0</v>
      </c>
      <c r="H83" s="24" t="str">
        <f>IF($A83="","",IFERROR(INDEX(Scherpenzeel!$A$4:$A$103,MATCH($A83,Scherpenzeel!$C$4:$C$103,0)),""))</f>
        <v/>
      </c>
      <c r="I83" s="15">
        <f>IF($A83="",0,IFERROR(INDEX(Scherpenzeel!$I$4:$I$103,MATCH($A83,Scherpenzeel!$C$4:$C$103,0)),0))</f>
        <v>0</v>
      </c>
      <c r="J83" s="24" t="str">
        <f>IF($A83="","",IFERROR(INDEX('4'!$A$4:$A$103,MATCH($A83,'4'!$C$4:$C$103,0)),""))</f>
        <v/>
      </c>
      <c r="K83" s="15">
        <f>IF($A83="",0,IFERROR(INDEX('4'!$I$4:$I$103,MATCH($A83,'4'!$C$4:$C$103,0)),0))</f>
        <v>0</v>
      </c>
      <c r="L83" s="24" t="str">
        <f>IF($A83="","",IFERROR(INDEX('5'!$A$4:$A$103,MATCH($A83,'5'!$C$4:$C$103,0)),""))</f>
        <v/>
      </c>
      <c r="M83" s="15">
        <f>IF($A83="",0,IFERROR(INDEX('5'!$I$4:$I$103,MATCH($A83,'5'!$C$4:$C$103,0)),0))</f>
        <v>0</v>
      </c>
      <c r="N83" s="25" t="str">
        <f t="shared" si="4"/>
        <v/>
      </c>
      <c r="O83" s="26" t="str">
        <f t="shared" si="5"/>
        <v/>
      </c>
      <c r="AA83" t="str">
        <f>IF(ISNUMBER(SEARCH("Junior",Scherpenzeel!E18)),Scherpenzeel!C18,"")</f>
        <v>Nout Remeeus</v>
      </c>
      <c r="AB83">
        <f>IF(AA83="",0,IF(COUNTIF($AA$1:AA83,AA83)=1,1,0))</f>
        <v>0</v>
      </c>
      <c r="AC83" t="str">
        <f>IF(AB83=1,COUNTIF($AB$1:AB83,1),"")</f>
        <v/>
      </c>
    </row>
    <row r="84" spans="1:29" x14ac:dyDescent="0.25">
      <c r="A84" s="13" t="str">
        <f>IFERROR(INDEX($AA$1:$AA$368,MATCH(81,$AC$1:$AC$368,0)),"")</f>
        <v/>
      </c>
      <c r="B84" s="13" t="str">
        <f>IF($A84="","",IF(IFERROR(INDEX(Barneveld!$E$4:$E$36,MATCH($A84,Barneveld!$C$4:$C$36,0)),"")&lt;&gt;"",IFERROR(INDEX(Barneveld!$E$4:$E$36,MATCH($A84,Barneveld!$C$4:$C$36,0)),""),IF(IFERROR(INDEX(Baarn!$F$4:$F$38,MATCH($A84,Baarn!$C$4:$C$38,0)),"")&lt;&gt;"",IFERROR(INDEX(Baarn!$F$4:$F$38,MATCH($A84,Baarn!$C$4:$C$38,0)),""),IF(IFERROR(INDEX(Scherpenzeel!$F$4:$F$103,MATCH($A84,Scherpenzeel!$C$4:$C$103,0)),"")&lt;&gt;"",IFERROR(INDEX(Scherpenzeel!$F$4:$F$103,MATCH($A84,Scherpenzeel!$C$4:$C$103,0)),""),IF(IFERROR(INDEX('4'!$F$4:$F$103,MATCH($A84,'4'!$C$4:$C$103,0)),"")&lt;&gt;"",IFERROR(INDEX('4'!$F$4:$F$103,MATCH($A84,'4'!$C$4:$C$103,0)),""),IFERROR(INDEX('5'!$F$4:$F$103,MATCH($A84,'5'!$C$4:$C$103,0)),""))))))</f>
        <v/>
      </c>
      <c r="C84" s="13" t="str">
        <f>IF($A84="","",IF(IFERROR(INDEX(Barneveld!$D$4:$D$36,MATCH($A84,Barneveld!$C$4:$C$36,0)),"")&lt;&gt;"",IFERROR(INDEX(Barneveld!$D$4:$D$36,MATCH($A84,Barneveld!$C$4:$C$36,0)),""),IF(IFERROR(INDEX(Baarn!$E$4:$E$38,MATCH($A84,Baarn!$C$4:$C$38,0)),"")&lt;&gt;"",IFERROR(INDEX(Baarn!$E$4:$E$38,MATCH($A84,Baarn!$C$4:$C$38,0)),""),IF(IFERROR(INDEX(Scherpenzeel!$E$4:$E$103,MATCH($A84,Scherpenzeel!$C$4:$C$103,0)),"")&lt;&gt;"",IFERROR(INDEX(Scherpenzeel!$E$4:$E$103,MATCH($A84,Scherpenzeel!$C$4:$C$103,0)),""),IF(IFERROR(INDEX('4'!$E$4:$E$103,MATCH($A84,'4'!$C$4:$C$103,0)),"")&lt;&gt;"",IFERROR(INDEX('4'!$E$4:$E$103,MATCH($A84,'4'!$C$4:$C$103,0)),""),IFERROR(INDEX('5'!$E$4:$E$103,MATCH($A84,'5'!$C$4:$C$103,0)),""))))))</f>
        <v/>
      </c>
      <c r="D84" s="24" t="str">
        <f>IF($A84="","",IFERROR(INDEX(Barneveld!$A$4:$A$36,MATCH($A84,Barneveld!$C$4:$C$36,0)),""))</f>
        <v/>
      </c>
      <c r="E84" s="15">
        <f>IF($A84="",0,IFERROR(INDEX(Barneveld!$H$4:$H$36,MATCH($A84,Barneveld!$C$4:$C$36,0)),0))</f>
        <v>0</v>
      </c>
      <c r="F84" s="24" t="str">
        <f>IF($A84="","",IFERROR(INDEX(Baarn!$A$4:$A$38,MATCH($A84,Baarn!$C$4:$C$38,0)),""))</f>
        <v/>
      </c>
      <c r="G84" s="15">
        <f>IF($A84="",0,IFERROR(INDEX(Baarn!$I$4:$I$38,MATCH($A84,Baarn!$C$4:$C$38,0)),0))</f>
        <v>0</v>
      </c>
      <c r="H84" s="24" t="str">
        <f>IF($A84="","",IFERROR(INDEX(Scherpenzeel!$A$4:$A$103,MATCH($A84,Scherpenzeel!$C$4:$C$103,0)),""))</f>
        <v/>
      </c>
      <c r="I84" s="15">
        <f>IF($A84="",0,IFERROR(INDEX(Scherpenzeel!$I$4:$I$103,MATCH($A84,Scherpenzeel!$C$4:$C$103,0)),0))</f>
        <v>0</v>
      </c>
      <c r="J84" s="24" t="str">
        <f>IF($A84="","",IFERROR(INDEX('4'!$A$4:$A$103,MATCH($A84,'4'!$C$4:$C$103,0)),""))</f>
        <v/>
      </c>
      <c r="K84" s="15">
        <f>IF($A84="",0,IFERROR(INDEX('4'!$I$4:$I$103,MATCH($A84,'4'!$C$4:$C$103,0)),0))</f>
        <v>0</v>
      </c>
      <c r="L84" s="24" t="str">
        <f>IF($A84="","",IFERROR(INDEX('5'!$A$4:$A$103,MATCH($A84,'5'!$C$4:$C$103,0)),""))</f>
        <v/>
      </c>
      <c r="M84" s="15">
        <f>IF($A84="",0,IFERROR(INDEX('5'!$I$4:$I$103,MATCH($A84,'5'!$C$4:$C$103,0)),0))</f>
        <v>0</v>
      </c>
      <c r="N84" s="25" t="str">
        <f t="shared" si="4"/>
        <v/>
      </c>
      <c r="O84" s="26" t="str">
        <f t="shared" si="5"/>
        <v/>
      </c>
      <c r="AA84" t="str">
        <f>IF(ISNUMBER(SEARCH("Junior",Scherpenzeel!E19)),Scherpenzeel!C19,"")</f>
        <v/>
      </c>
      <c r="AB84">
        <f>IF(AA84="",0,IF(COUNTIF($AA$1:AA84,AA84)=1,1,0))</f>
        <v>0</v>
      </c>
      <c r="AC84" t="str">
        <f>IF(AB84=1,COUNTIF($AB$1:AB84,1),"")</f>
        <v/>
      </c>
    </row>
    <row r="85" spans="1:29" x14ac:dyDescent="0.25">
      <c r="A85" s="13" t="str">
        <f>IFERROR(INDEX($AA$1:$AA$368,MATCH(82,$AC$1:$AC$368,0)),"")</f>
        <v/>
      </c>
      <c r="B85" s="13" t="str">
        <f>IF($A85="","",IF(IFERROR(INDEX(Barneveld!$E$4:$E$36,MATCH($A85,Barneveld!$C$4:$C$36,0)),"")&lt;&gt;"",IFERROR(INDEX(Barneveld!$E$4:$E$36,MATCH($A85,Barneveld!$C$4:$C$36,0)),""),IF(IFERROR(INDEX(Baarn!$F$4:$F$38,MATCH($A85,Baarn!$C$4:$C$38,0)),"")&lt;&gt;"",IFERROR(INDEX(Baarn!$F$4:$F$38,MATCH($A85,Baarn!$C$4:$C$38,0)),""),IF(IFERROR(INDEX(Scherpenzeel!$F$4:$F$103,MATCH($A85,Scherpenzeel!$C$4:$C$103,0)),"")&lt;&gt;"",IFERROR(INDEX(Scherpenzeel!$F$4:$F$103,MATCH($A85,Scherpenzeel!$C$4:$C$103,0)),""),IF(IFERROR(INDEX('4'!$F$4:$F$103,MATCH($A85,'4'!$C$4:$C$103,0)),"")&lt;&gt;"",IFERROR(INDEX('4'!$F$4:$F$103,MATCH($A85,'4'!$C$4:$C$103,0)),""),IFERROR(INDEX('5'!$F$4:$F$103,MATCH($A85,'5'!$C$4:$C$103,0)),""))))))</f>
        <v/>
      </c>
      <c r="C85" s="13" t="str">
        <f>IF($A85="","",IF(IFERROR(INDEX(Barneveld!$D$4:$D$36,MATCH($A85,Barneveld!$C$4:$C$36,0)),"")&lt;&gt;"",IFERROR(INDEX(Barneveld!$D$4:$D$36,MATCH($A85,Barneveld!$C$4:$C$36,0)),""),IF(IFERROR(INDEX(Baarn!$E$4:$E$38,MATCH($A85,Baarn!$C$4:$C$38,0)),"")&lt;&gt;"",IFERROR(INDEX(Baarn!$E$4:$E$38,MATCH($A85,Baarn!$C$4:$C$38,0)),""),IF(IFERROR(INDEX(Scherpenzeel!$E$4:$E$103,MATCH($A85,Scherpenzeel!$C$4:$C$103,0)),"")&lt;&gt;"",IFERROR(INDEX(Scherpenzeel!$E$4:$E$103,MATCH($A85,Scherpenzeel!$C$4:$C$103,0)),""),IF(IFERROR(INDEX('4'!$E$4:$E$103,MATCH($A85,'4'!$C$4:$C$103,0)),"")&lt;&gt;"",IFERROR(INDEX('4'!$E$4:$E$103,MATCH($A85,'4'!$C$4:$C$103,0)),""),IFERROR(INDEX('5'!$E$4:$E$103,MATCH($A85,'5'!$C$4:$C$103,0)),""))))))</f>
        <v/>
      </c>
      <c r="D85" s="24" t="str">
        <f>IF($A85="","",IFERROR(INDEX(Barneveld!$A$4:$A$36,MATCH($A85,Barneveld!$C$4:$C$36,0)),""))</f>
        <v/>
      </c>
      <c r="E85" s="15">
        <f>IF($A85="",0,IFERROR(INDEX(Barneveld!$H$4:$H$36,MATCH($A85,Barneveld!$C$4:$C$36,0)),0))</f>
        <v>0</v>
      </c>
      <c r="F85" s="24" t="str">
        <f>IF($A85="","",IFERROR(INDEX(Baarn!$A$4:$A$38,MATCH($A85,Baarn!$C$4:$C$38,0)),""))</f>
        <v/>
      </c>
      <c r="G85" s="15">
        <f>IF($A85="",0,IFERROR(INDEX(Baarn!$I$4:$I$38,MATCH($A85,Baarn!$C$4:$C$38,0)),0))</f>
        <v>0</v>
      </c>
      <c r="H85" s="24" t="str">
        <f>IF($A85="","",IFERROR(INDEX(Scherpenzeel!$A$4:$A$103,MATCH($A85,Scherpenzeel!$C$4:$C$103,0)),""))</f>
        <v/>
      </c>
      <c r="I85" s="15">
        <f>IF($A85="",0,IFERROR(INDEX(Scherpenzeel!$I$4:$I$103,MATCH($A85,Scherpenzeel!$C$4:$C$103,0)),0))</f>
        <v>0</v>
      </c>
      <c r="J85" s="24" t="str">
        <f>IF($A85="","",IFERROR(INDEX('4'!$A$4:$A$103,MATCH($A85,'4'!$C$4:$C$103,0)),""))</f>
        <v/>
      </c>
      <c r="K85" s="15">
        <f>IF($A85="",0,IFERROR(INDEX('4'!$I$4:$I$103,MATCH($A85,'4'!$C$4:$C$103,0)),0))</f>
        <v>0</v>
      </c>
      <c r="L85" s="24" t="str">
        <f>IF($A85="","",IFERROR(INDEX('5'!$A$4:$A$103,MATCH($A85,'5'!$C$4:$C$103,0)),""))</f>
        <v/>
      </c>
      <c r="M85" s="15">
        <f>IF($A85="",0,IFERROR(INDEX('5'!$I$4:$I$103,MATCH($A85,'5'!$C$4:$C$103,0)),0))</f>
        <v>0</v>
      </c>
      <c r="N85" s="25" t="str">
        <f t="shared" si="4"/>
        <v/>
      </c>
      <c r="O85" s="26" t="str">
        <f t="shared" si="5"/>
        <v/>
      </c>
      <c r="AA85" t="str">
        <f>IF(ISNUMBER(SEARCH("Junior",Scherpenzeel!E20)),Scherpenzeel!C20,"")</f>
        <v/>
      </c>
      <c r="AB85">
        <f>IF(AA85="",0,IF(COUNTIF($AA$1:AA85,AA85)=1,1,0))</f>
        <v>0</v>
      </c>
      <c r="AC85" t="str">
        <f>IF(AB85=1,COUNTIF($AB$1:AB85,1),"")</f>
        <v/>
      </c>
    </row>
    <row r="86" spans="1:29" x14ac:dyDescent="0.25">
      <c r="A86" s="13" t="str">
        <f>IFERROR(INDEX($AA$1:$AA$368,MATCH(83,$AC$1:$AC$368,0)),"")</f>
        <v/>
      </c>
      <c r="B86" s="13" t="str">
        <f>IF($A86="","",IF(IFERROR(INDEX(Barneveld!$E$4:$E$36,MATCH($A86,Barneveld!$C$4:$C$36,0)),"")&lt;&gt;"",IFERROR(INDEX(Barneveld!$E$4:$E$36,MATCH($A86,Barneveld!$C$4:$C$36,0)),""),IF(IFERROR(INDEX(Baarn!$F$4:$F$38,MATCH($A86,Baarn!$C$4:$C$38,0)),"")&lt;&gt;"",IFERROR(INDEX(Baarn!$F$4:$F$38,MATCH($A86,Baarn!$C$4:$C$38,0)),""),IF(IFERROR(INDEX(Scherpenzeel!$F$4:$F$103,MATCH($A86,Scherpenzeel!$C$4:$C$103,0)),"")&lt;&gt;"",IFERROR(INDEX(Scherpenzeel!$F$4:$F$103,MATCH($A86,Scherpenzeel!$C$4:$C$103,0)),""),IF(IFERROR(INDEX('4'!$F$4:$F$103,MATCH($A86,'4'!$C$4:$C$103,0)),"")&lt;&gt;"",IFERROR(INDEX('4'!$F$4:$F$103,MATCH($A86,'4'!$C$4:$C$103,0)),""),IFERROR(INDEX('5'!$F$4:$F$103,MATCH($A86,'5'!$C$4:$C$103,0)),""))))))</f>
        <v/>
      </c>
      <c r="C86" s="13" t="str">
        <f>IF($A86="","",IF(IFERROR(INDEX(Barneveld!$D$4:$D$36,MATCH($A86,Barneveld!$C$4:$C$36,0)),"")&lt;&gt;"",IFERROR(INDEX(Barneveld!$D$4:$D$36,MATCH($A86,Barneveld!$C$4:$C$36,0)),""),IF(IFERROR(INDEX(Baarn!$E$4:$E$38,MATCH($A86,Baarn!$C$4:$C$38,0)),"")&lt;&gt;"",IFERROR(INDEX(Baarn!$E$4:$E$38,MATCH($A86,Baarn!$C$4:$C$38,0)),""),IF(IFERROR(INDEX(Scherpenzeel!$E$4:$E$103,MATCH($A86,Scherpenzeel!$C$4:$C$103,0)),"")&lt;&gt;"",IFERROR(INDEX(Scherpenzeel!$E$4:$E$103,MATCH($A86,Scherpenzeel!$C$4:$C$103,0)),""),IF(IFERROR(INDEX('4'!$E$4:$E$103,MATCH($A86,'4'!$C$4:$C$103,0)),"")&lt;&gt;"",IFERROR(INDEX('4'!$E$4:$E$103,MATCH($A86,'4'!$C$4:$C$103,0)),""),IFERROR(INDEX('5'!$E$4:$E$103,MATCH($A86,'5'!$C$4:$C$103,0)),""))))))</f>
        <v/>
      </c>
      <c r="D86" s="24" t="str">
        <f>IF($A86="","",IFERROR(INDEX(Barneveld!$A$4:$A$36,MATCH($A86,Barneveld!$C$4:$C$36,0)),""))</f>
        <v/>
      </c>
      <c r="E86" s="15">
        <f>IF($A86="",0,IFERROR(INDEX(Barneveld!$H$4:$H$36,MATCH($A86,Barneveld!$C$4:$C$36,0)),0))</f>
        <v>0</v>
      </c>
      <c r="F86" s="24" t="str">
        <f>IF($A86="","",IFERROR(INDEX(Baarn!$A$4:$A$38,MATCH($A86,Baarn!$C$4:$C$38,0)),""))</f>
        <v/>
      </c>
      <c r="G86" s="15">
        <f>IF($A86="",0,IFERROR(INDEX(Baarn!$I$4:$I$38,MATCH($A86,Baarn!$C$4:$C$38,0)),0))</f>
        <v>0</v>
      </c>
      <c r="H86" s="24" t="str">
        <f>IF($A86="","",IFERROR(INDEX(Scherpenzeel!$A$4:$A$103,MATCH($A86,Scherpenzeel!$C$4:$C$103,0)),""))</f>
        <v/>
      </c>
      <c r="I86" s="15">
        <f>IF($A86="",0,IFERROR(INDEX(Scherpenzeel!$I$4:$I$103,MATCH($A86,Scherpenzeel!$C$4:$C$103,0)),0))</f>
        <v>0</v>
      </c>
      <c r="J86" s="24" t="str">
        <f>IF($A86="","",IFERROR(INDEX('4'!$A$4:$A$103,MATCH($A86,'4'!$C$4:$C$103,0)),""))</f>
        <v/>
      </c>
      <c r="K86" s="15">
        <f>IF($A86="",0,IFERROR(INDEX('4'!$I$4:$I$103,MATCH($A86,'4'!$C$4:$C$103,0)),0))</f>
        <v>0</v>
      </c>
      <c r="L86" s="24" t="str">
        <f>IF($A86="","",IFERROR(INDEX('5'!$A$4:$A$103,MATCH($A86,'5'!$C$4:$C$103,0)),""))</f>
        <v/>
      </c>
      <c r="M86" s="15">
        <f>IF($A86="",0,IFERROR(INDEX('5'!$I$4:$I$103,MATCH($A86,'5'!$C$4:$C$103,0)),0))</f>
        <v>0</v>
      </c>
      <c r="N86" s="25" t="str">
        <f t="shared" si="4"/>
        <v/>
      </c>
      <c r="O86" s="26" t="str">
        <f t="shared" si="5"/>
        <v/>
      </c>
      <c r="AA86" t="str">
        <f>IF(ISNUMBER(SEARCH("Junior",Scherpenzeel!E21)),Scherpenzeel!C21,"")</f>
        <v/>
      </c>
      <c r="AB86">
        <f>IF(AA86="",0,IF(COUNTIF($AA$1:AA86,AA86)=1,1,0))</f>
        <v>0</v>
      </c>
      <c r="AC86" t="str">
        <f>IF(AB86=1,COUNTIF($AB$1:AB86,1),"")</f>
        <v/>
      </c>
    </row>
    <row r="87" spans="1:29" x14ac:dyDescent="0.25">
      <c r="A87" s="13" t="str">
        <f>IFERROR(INDEX($AA$1:$AA$368,MATCH(84,$AC$1:$AC$368,0)),"")</f>
        <v/>
      </c>
      <c r="B87" s="13" t="str">
        <f>IF($A87="","",IF(IFERROR(INDEX(Barneveld!$E$4:$E$36,MATCH($A87,Barneveld!$C$4:$C$36,0)),"")&lt;&gt;"",IFERROR(INDEX(Barneveld!$E$4:$E$36,MATCH($A87,Barneveld!$C$4:$C$36,0)),""),IF(IFERROR(INDEX(Baarn!$F$4:$F$38,MATCH($A87,Baarn!$C$4:$C$38,0)),"")&lt;&gt;"",IFERROR(INDEX(Baarn!$F$4:$F$38,MATCH($A87,Baarn!$C$4:$C$38,0)),""),IF(IFERROR(INDEX(Scherpenzeel!$F$4:$F$103,MATCH($A87,Scherpenzeel!$C$4:$C$103,0)),"")&lt;&gt;"",IFERROR(INDEX(Scherpenzeel!$F$4:$F$103,MATCH($A87,Scherpenzeel!$C$4:$C$103,0)),""),IF(IFERROR(INDEX('4'!$F$4:$F$103,MATCH($A87,'4'!$C$4:$C$103,0)),"")&lt;&gt;"",IFERROR(INDEX('4'!$F$4:$F$103,MATCH($A87,'4'!$C$4:$C$103,0)),""),IFERROR(INDEX('5'!$F$4:$F$103,MATCH($A87,'5'!$C$4:$C$103,0)),""))))))</f>
        <v/>
      </c>
      <c r="C87" s="13" t="str">
        <f>IF($A87="","",IF(IFERROR(INDEX(Barneveld!$D$4:$D$36,MATCH($A87,Barneveld!$C$4:$C$36,0)),"")&lt;&gt;"",IFERROR(INDEX(Barneveld!$D$4:$D$36,MATCH($A87,Barneveld!$C$4:$C$36,0)),""),IF(IFERROR(INDEX(Baarn!$E$4:$E$38,MATCH($A87,Baarn!$C$4:$C$38,0)),"")&lt;&gt;"",IFERROR(INDEX(Baarn!$E$4:$E$38,MATCH($A87,Baarn!$C$4:$C$38,0)),""),IF(IFERROR(INDEX(Scherpenzeel!$E$4:$E$103,MATCH($A87,Scherpenzeel!$C$4:$C$103,0)),"")&lt;&gt;"",IFERROR(INDEX(Scherpenzeel!$E$4:$E$103,MATCH($A87,Scherpenzeel!$C$4:$C$103,0)),""),IF(IFERROR(INDEX('4'!$E$4:$E$103,MATCH($A87,'4'!$C$4:$C$103,0)),"")&lt;&gt;"",IFERROR(INDEX('4'!$E$4:$E$103,MATCH($A87,'4'!$C$4:$C$103,0)),""),IFERROR(INDEX('5'!$E$4:$E$103,MATCH($A87,'5'!$C$4:$C$103,0)),""))))))</f>
        <v/>
      </c>
      <c r="D87" s="24" t="str">
        <f>IF($A87="","",IFERROR(INDEX(Barneveld!$A$4:$A$36,MATCH($A87,Barneveld!$C$4:$C$36,0)),""))</f>
        <v/>
      </c>
      <c r="E87" s="15">
        <f>IF($A87="",0,IFERROR(INDEX(Barneveld!$H$4:$H$36,MATCH($A87,Barneveld!$C$4:$C$36,0)),0))</f>
        <v>0</v>
      </c>
      <c r="F87" s="24" t="str">
        <f>IF($A87="","",IFERROR(INDEX(Baarn!$A$4:$A$38,MATCH($A87,Baarn!$C$4:$C$38,0)),""))</f>
        <v/>
      </c>
      <c r="G87" s="15">
        <f>IF($A87="",0,IFERROR(INDEX(Baarn!$I$4:$I$38,MATCH($A87,Baarn!$C$4:$C$38,0)),0))</f>
        <v>0</v>
      </c>
      <c r="H87" s="24" t="str">
        <f>IF($A87="","",IFERROR(INDEX(Scherpenzeel!$A$4:$A$103,MATCH($A87,Scherpenzeel!$C$4:$C$103,0)),""))</f>
        <v/>
      </c>
      <c r="I87" s="15">
        <f>IF($A87="",0,IFERROR(INDEX(Scherpenzeel!$I$4:$I$103,MATCH($A87,Scherpenzeel!$C$4:$C$103,0)),0))</f>
        <v>0</v>
      </c>
      <c r="J87" s="24" t="str">
        <f>IF($A87="","",IFERROR(INDEX('4'!$A$4:$A$103,MATCH($A87,'4'!$C$4:$C$103,0)),""))</f>
        <v/>
      </c>
      <c r="K87" s="15">
        <f>IF($A87="",0,IFERROR(INDEX('4'!$I$4:$I$103,MATCH($A87,'4'!$C$4:$C$103,0)),0))</f>
        <v>0</v>
      </c>
      <c r="L87" s="24" t="str">
        <f>IF($A87="","",IFERROR(INDEX('5'!$A$4:$A$103,MATCH($A87,'5'!$C$4:$C$103,0)),""))</f>
        <v/>
      </c>
      <c r="M87" s="15">
        <f>IF($A87="",0,IFERROR(INDEX('5'!$I$4:$I$103,MATCH($A87,'5'!$C$4:$C$103,0)),0))</f>
        <v>0</v>
      </c>
      <c r="N87" s="25" t="str">
        <f t="shared" si="4"/>
        <v/>
      </c>
      <c r="O87" s="26" t="str">
        <f t="shared" si="5"/>
        <v/>
      </c>
      <c r="AA87" t="str">
        <f>IF(ISNUMBER(SEARCH("Junior",Scherpenzeel!E22)),Scherpenzeel!C22,"")</f>
        <v/>
      </c>
      <c r="AB87">
        <f>IF(AA87="",0,IF(COUNTIF($AA$1:AA87,AA87)=1,1,0))</f>
        <v>0</v>
      </c>
      <c r="AC87" t="str">
        <f>IF(AB87=1,COUNTIF($AB$1:AB87,1),"")</f>
        <v/>
      </c>
    </row>
    <row r="88" spans="1:29" x14ac:dyDescent="0.25">
      <c r="A88" s="13" t="str">
        <f>IFERROR(INDEX($AA$1:$AA$368,MATCH(85,$AC$1:$AC$368,0)),"")</f>
        <v/>
      </c>
      <c r="B88" s="13" t="str">
        <f>IF($A88="","",IF(IFERROR(INDEX(Barneveld!$E$4:$E$36,MATCH($A88,Barneveld!$C$4:$C$36,0)),"")&lt;&gt;"",IFERROR(INDEX(Barneveld!$E$4:$E$36,MATCH($A88,Barneveld!$C$4:$C$36,0)),""),IF(IFERROR(INDEX(Baarn!$F$4:$F$38,MATCH($A88,Baarn!$C$4:$C$38,0)),"")&lt;&gt;"",IFERROR(INDEX(Baarn!$F$4:$F$38,MATCH($A88,Baarn!$C$4:$C$38,0)),""),IF(IFERROR(INDEX(Scherpenzeel!$F$4:$F$103,MATCH($A88,Scherpenzeel!$C$4:$C$103,0)),"")&lt;&gt;"",IFERROR(INDEX(Scherpenzeel!$F$4:$F$103,MATCH($A88,Scherpenzeel!$C$4:$C$103,0)),""),IF(IFERROR(INDEX('4'!$F$4:$F$103,MATCH($A88,'4'!$C$4:$C$103,0)),"")&lt;&gt;"",IFERROR(INDEX('4'!$F$4:$F$103,MATCH($A88,'4'!$C$4:$C$103,0)),""),IFERROR(INDEX('5'!$F$4:$F$103,MATCH($A88,'5'!$C$4:$C$103,0)),""))))))</f>
        <v/>
      </c>
      <c r="C88" s="13" t="str">
        <f>IF($A88="","",IF(IFERROR(INDEX(Barneveld!$D$4:$D$36,MATCH($A88,Barneveld!$C$4:$C$36,0)),"")&lt;&gt;"",IFERROR(INDEX(Barneveld!$D$4:$D$36,MATCH($A88,Barneveld!$C$4:$C$36,0)),""),IF(IFERROR(INDEX(Baarn!$E$4:$E$38,MATCH($A88,Baarn!$C$4:$C$38,0)),"")&lt;&gt;"",IFERROR(INDEX(Baarn!$E$4:$E$38,MATCH($A88,Baarn!$C$4:$C$38,0)),""),IF(IFERROR(INDEX(Scherpenzeel!$E$4:$E$103,MATCH($A88,Scherpenzeel!$C$4:$C$103,0)),"")&lt;&gt;"",IFERROR(INDEX(Scherpenzeel!$E$4:$E$103,MATCH($A88,Scherpenzeel!$C$4:$C$103,0)),""),IF(IFERROR(INDEX('4'!$E$4:$E$103,MATCH($A88,'4'!$C$4:$C$103,0)),"")&lt;&gt;"",IFERROR(INDEX('4'!$E$4:$E$103,MATCH($A88,'4'!$C$4:$C$103,0)),""),IFERROR(INDEX('5'!$E$4:$E$103,MATCH($A88,'5'!$C$4:$C$103,0)),""))))))</f>
        <v/>
      </c>
      <c r="D88" s="24" t="str">
        <f>IF($A88="","",IFERROR(INDEX(Barneveld!$A$4:$A$36,MATCH($A88,Barneveld!$C$4:$C$36,0)),""))</f>
        <v/>
      </c>
      <c r="E88" s="15">
        <f>IF($A88="",0,IFERROR(INDEX(Barneveld!$H$4:$H$36,MATCH($A88,Barneveld!$C$4:$C$36,0)),0))</f>
        <v>0</v>
      </c>
      <c r="F88" s="24" t="str">
        <f>IF($A88="","",IFERROR(INDEX(Baarn!$A$4:$A$38,MATCH($A88,Baarn!$C$4:$C$38,0)),""))</f>
        <v/>
      </c>
      <c r="G88" s="15">
        <f>IF($A88="",0,IFERROR(INDEX(Baarn!$I$4:$I$38,MATCH($A88,Baarn!$C$4:$C$38,0)),0))</f>
        <v>0</v>
      </c>
      <c r="H88" s="24" t="str">
        <f>IF($A88="","",IFERROR(INDEX(Scherpenzeel!$A$4:$A$103,MATCH($A88,Scherpenzeel!$C$4:$C$103,0)),""))</f>
        <v/>
      </c>
      <c r="I88" s="15">
        <f>IF($A88="",0,IFERROR(INDEX(Scherpenzeel!$I$4:$I$103,MATCH($A88,Scherpenzeel!$C$4:$C$103,0)),0))</f>
        <v>0</v>
      </c>
      <c r="J88" s="24" t="str">
        <f>IF($A88="","",IFERROR(INDEX('4'!$A$4:$A$103,MATCH($A88,'4'!$C$4:$C$103,0)),""))</f>
        <v/>
      </c>
      <c r="K88" s="15">
        <f>IF($A88="",0,IFERROR(INDEX('4'!$I$4:$I$103,MATCH($A88,'4'!$C$4:$C$103,0)),0))</f>
        <v>0</v>
      </c>
      <c r="L88" s="24" t="str">
        <f>IF($A88="","",IFERROR(INDEX('5'!$A$4:$A$103,MATCH($A88,'5'!$C$4:$C$103,0)),""))</f>
        <v/>
      </c>
      <c r="M88" s="15">
        <f>IF($A88="",0,IFERROR(INDEX('5'!$I$4:$I$103,MATCH($A88,'5'!$C$4:$C$103,0)),0))</f>
        <v>0</v>
      </c>
      <c r="N88" s="25" t="str">
        <f t="shared" si="4"/>
        <v/>
      </c>
      <c r="O88" s="26" t="str">
        <f t="shared" si="5"/>
        <v/>
      </c>
      <c r="AA88" t="str">
        <f>IF(ISNUMBER(SEARCH("Junior",Scherpenzeel!E23)),Scherpenzeel!C23,"")</f>
        <v>Lieuwe van der Meulen</v>
      </c>
      <c r="AB88">
        <f>IF(AA88="",0,IF(COUNTIF($AA$1:AA88,AA88)=1,1,0))</f>
        <v>1</v>
      </c>
      <c r="AC88">
        <f>IF(AB88=1,COUNTIF($AB$1:AB88,1),"")</f>
        <v>16</v>
      </c>
    </row>
    <row r="89" spans="1:29" x14ac:dyDescent="0.25">
      <c r="A89" s="13" t="str">
        <f>IFERROR(INDEX($AA$1:$AA$368,MATCH(86,$AC$1:$AC$368,0)),"")</f>
        <v/>
      </c>
      <c r="B89" s="13" t="str">
        <f>IF($A89="","",IF(IFERROR(INDEX(Barneveld!$E$4:$E$36,MATCH($A89,Barneveld!$C$4:$C$36,0)),"")&lt;&gt;"",IFERROR(INDEX(Barneveld!$E$4:$E$36,MATCH($A89,Barneveld!$C$4:$C$36,0)),""),IF(IFERROR(INDEX(Baarn!$F$4:$F$38,MATCH($A89,Baarn!$C$4:$C$38,0)),"")&lt;&gt;"",IFERROR(INDEX(Baarn!$F$4:$F$38,MATCH($A89,Baarn!$C$4:$C$38,0)),""),IF(IFERROR(INDEX(Scherpenzeel!$F$4:$F$103,MATCH($A89,Scherpenzeel!$C$4:$C$103,0)),"")&lt;&gt;"",IFERROR(INDEX(Scherpenzeel!$F$4:$F$103,MATCH($A89,Scherpenzeel!$C$4:$C$103,0)),""),IF(IFERROR(INDEX('4'!$F$4:$F$103,MATCH($A89,'4'!$C$4:$C$103,0)),"")&lt;&gt;"",IFERROR(INDEX('4'!$F$4:$F$103,MATCH($A89,'4'!$C$4:$C$103,0)),""),IFERROR(INDEX('5'!$F$4:$F$103,MATCH($A89,'5'!$C$4:$C$103,0)),""))))))</f>
        <v/>
      </c>
      <c r="C89" s="13" t="str">
        <f>IF($A89="","",IF(IFERROR(INDEX(Barneveld!$D$4:$D$36,MATCH($A89,Barneveld!$C$4:$C$36,0)),"")&lt;&gt;"",IFERROR(INDEX(Barneveld!$D$4:$D$36,MATCH($A89,Barneveld!$C$4:$C$36,0)),""),IF(IFERROR(INDEX(Baarn!$E$4:$E$38,MATCH($A89,Baarn!$C$4:$C$38,0)),"")&lt;&gt;"",IFERROR(INDEX(Baarn!$E$4:$E$38,MATCH($A89,Baarn!$C$4:$C$38,0)),""),IF(IFERROR(INDEX(Scherpenzeel!$E$4:$E$103,MATCH($A89,Scherpenzeel!$C$4:$C$103,0)),"")&lt;&gt;"",IFERROR(INDEX(Scherpenzeel!$E$4:$E$103,MATCH($A89,Scherpenzeel!$C$4:$C$103,0)),""),IF(IFERROR(INDEX('4'!$E$4:$E$103,MATCH($A89,'4'!$C$4:$C$103,0)),"")&lt;&gt;"",IFERROR(INDEX('4'!$E$4:$E$103,MATCH($A89,'4'!$C$4:$C$103,0)),""),IFERROR(INDEX('5'!$E$4:$E$103,MATCH($A89,'5'!$C$4:$C$103,0)),""))))))</f>
        <v/>
      </c>
      <c r="D89" s="24" t="str">
        <f>IF($A89="","",IFERROR(INDEX(Barneveld!$A$4:$A$36,MATCH($A89,Barneveld!$C$4:$C$36,0)),""))</f>
        <v/>
      </c>
      <c r="E89" s="15">
        <f>IF($A89="",0,IFERROR(INDEX(Barneveld!$H$4:$H$36,MATCH($A89,Barneveld!$C$4:$C$36,0)),0))</f>
        <v>0</v>
      </c>
      <c r="F89" s="24" t="str">
        <f>IF($A89="","",IFERROR(INDEX(Baarn!$A$4:$A$38,MATCH($A89,Baarn!$C$4:$C$38,0)),""))</f>
        <v/>
      </c>
      <c r="G89" s="15">
        <f>IF($A89="",0,IFERROR(INDEX(Baarn!$I$4:$I$38,MATCH($A89,Baarn!$C$4:$C$38,0)),0))</f>
        <v>0</v>
      </c>
      <c r="H89" s="24" t="str">
        <f>IF($A89="","",IFERROR(INDEX(Scherpenzeel!$A$4:$A$103,MATCH($A89,Scherpenzeel!$C$4:$C$103,0)),""))</f>
        <v/>
      </c>
      <c r="I89" s="15">
        <f>IF($A89="",0,IFERROR(INDEX(Scherpenzeel!$I$4:$I$103,MATCH($A89,Scherpenzeel!$C$4:$C$103,0)),0))</f>
        <v>0</v>
      </c>
      <c r="J89" s="24" t="str">
        <f>IF($A89="","",IFERROR(INDEX('4'!$A$4:$A$103,MATCH($A89,'4'!$C$4:$C$103,0)),""))</f>
        <v/>
      </c>
      <c r="K89" s="15">
        <f>IF($A89="",0,IFERROR(INDEX('4'!$I$4:$I$103,MATCH($A89,'4'!$C$4:$C$103,0)),0))</f>
        <v>0</v>
      </c>
      <c r="L89" s="24" t="str">
        <f>IF($A89="","",IFERROR(INDEX('5'!$A$4:$A$103,MATCH($A89,'5'!$C$4:$C$103,0)),""))</f>
        <v/>
      </c>
      <c r="M89" s="15">
        <f>IF($A89="",0,IFERROR(INDEX('5'!$I$4:$I$103,MATCH($A89,'5'!$C$4:$C$103,0)),0))</f>
        <v>0</v>
      </c>
      <c r="N89" s="25" t="str">
        <f t="shared" si="4"/>
        <v/>
      </c>
      <c r="O89" s="26" t="str">
        <f t="shared" si="5"/>
        <v/>
      </c>
      <c r="AA89" t="str">
        <f>IF(ISNUMBER(SEARCH("Junior",Scherpenzeel!E24)),Scherpenzeel!C24,"")</f>
        <v/>
      </c>
      <c r="AB89">
        <f>IF(AA89="",0,IF(COUNTIF($AA$1:AA89,AA89)=1,1,0))</f>
        <v>0</v>
      </c>
      <c r="AC89" t="str">
        <f>IF(AB89=1,COUNTIF($AB$1:AB89,1),"")</f>
        <v/>
      </c>
    </row>
    <row r="90" spans="1:29" x14ac:dyDescent="0.25">
      <c r="A90" s="13" t="str">
        <f>IFERROR(INDEX($AA$1:$AA$368,MATCH(87,$AC$1:$AC$368,0)),"")</f>
        <v/>
      </c>
      <c r="B90" s="13" t="str">
        <f>IF($A90="","",IF(IFERROR(INDEX(Barneveld!$E$4:$E$36,MATCH($A90,Barneveld!$C$4:$C$36,0)),"")&lt;&gt;"",IFERROR(INDEX(Barneveld!$E$4:$E$36,MATCH($A90,Barneveld!$C$4:$C$36,0)),""),IF(IFERROR(INDEX(Baarn!$F$4:$F$38,MATCH($A90,Baarn!$C$4:$C$38,0)),"")&lt;&gt;"",IFERROR(INDEX(Baarn!$F$4:$F$38,MATCH($A90,Baarn!$C$4:$C$38,0)),""),IF(IFERROR(INDEX(Scherpenzeel!$F$4:$F$103,MATCH($A90,Scherpenzeel!$C$4:$C$103,0)),"")&lt;&gt;"",IFERROR(INDEX(Scherpenzeel!$F$4:$F$103,MATCH($A90,Scherpenzeel!$C$4:$C$103,0)),""),IF(IFERROR(INDEX('4'!$F$4:$F$103,MATCH($A90,'4'!$C$4:$C$103,0)),"")&lt;&gt;"",IFERROR(INDEX('4'!$F$4:$F$103,MATCH($A90,'4'!$C$4:$C$103,0)),""),IFERROR(INDEX('5'!$F$4:$F$103,MATCH($A90,'5'!$C$4:$C$103,0)),""))))))</f>
        <v/>
      </c>
      <c r="C90" s="13" t="str">
        <f>IF($A90="","",IF(IFERROR(INDEX(Barneveld!$D$4:$D$36,MATCH($A90,Barneveld!$C$4:$C$36,0)),"")&lt;&gt;"",IFERROR(INDEX(Barneveld!$D$4:$D$36,MATCH($A90,Barneveld!$C$4:$C$36,0)),""),IF(IFERROR(INDEX(Baarn!$E$4:$E$38,MATCH($A90,Baarn!$C$4:$C$38,0)),"")&lt;&gt;"",IFERROR(INDEX(Baarn!$E$4:$E$38,MATCH($A90,Baarn!$C$4:$C$38,0)),""),IF(IFERROR(INDEX(Scherpenzeel!$E$4:$E$103,MATCH($A90,Scherpenzeel!$C$4:$C$103,0)),"")&lt;&gt;"",IFERROR(INDEX(Scherpenzeel!$E$4:$E$103,MATCH($A90,Scherpenzeel!$C$4:$C$103,0)),""),IF(IFERROR(INDEX('4'!$E$4:$E$103,MATCH($A90,'4'!$C$4:$C$103,0)),"")&lt;&gt;"",IFERROR(INDEX('4'!$E$4:$E$103,MATCH($A90,'4'!$C$4:$C$103,0)),""),IFERROR(INDEX('5'!$E$4:$E$103,MATCH($A90,'5'!$C$4:$C$103,0)),""))))))</f>
        <v/>
      </c>
      <c r="D90" s="24" t="str">
        <f>IF($A90="","",IFERROR(INDEX(Barneveld!$A$4:$A$36,MATCH($A90,Barneveld!$C$4:$C$36,0)),""))</f>
        <v/>
      </c>
      <c r="E90" s="15">
        <f>IF($A90="",0,IFERROR(INDEX(Barneveld!$H$4:$H$36,MATCH($A90,Barneveld!$C$4:$C$36,0)),0))</f>
        <v>0</v>
      </c>
      <c r="F90" s="24" t="str">
        <f>IF($A90="","",IFERROR(INDEX(Baarn!$A$4:$A$38,MATCH($A90,Baarn!$C$4:$C$38,0)),""))</f>
        <v/>
      </c>
      <c r="G90" s="15">
        <f>IF($A90="",0,IFERROR(INDEX(Baarn!$I$4:$I$38,MATCH($A90,Baarn!$C$4:$C$38,0)),0))</f>
        <v>0</v>
      </c>
      <c r="H90" s="24" t="str">
        <f>IF($A90="","",IFERROR(INDEX(Scherpenzeel!$A$4:$A$103,MATCH($A90,Scherpenzeel!$C$4:$C$103,0)),""))</f>
        <v/>
      </c>
      <c r="I90" s="15">
        <f>IF($A90="",0,IFERROR(INDEX(Scherpenzeel!$I$4:$I$103,MATCH($A90,Scherpenzeel!$C$4:$C$103,0)),0))</f>
        <v>0</v>
      </c>
      <c r="J90" s="24" t="str">
        <f>IF($A90="","",IFERROR(INDEX('4'!$A$4:$A$103,MATCH($A90,'4'!$C$4:$C$103,0)),""))</f>
        <v/>
      </c>
      <c r="K90" s="15">
        <f>IF($A90="",0,IFERROR(INDEX('4'!$I$4:$I$103,MATCH($A90,'4'!$C$4:$C$103,0)),0))</f>
        <v>0</v>
      </c>
      <c r="L90" s="24" t="str">
        <f>IF($A90="","",IFERROR(INDEX('5'!$A$4:$A$103,MATCH($A90,'5'!$C$4:$C$103,0)),""))</f>
        <v/>
      </c>
      <c r="M90" s="15">
        <f>IF($A90="",0,IFERROR(INDEX('5'!$I$4:$I$103,MATCH($A90,'5'!$C$4:$C$103,0)),0))</f>
        <v>0</v>
      </c>
      <c r="N90" s="25" t="str">
        <f t="shared" si="4"/>
        <v/>
      </c>
      <c r="O90" s="26" t="str">
        <f t="shared" si="5"/>
        <v/>
      </c>
      <c r="AA90" t="str">
        <f>IF(ISNUMBER(SEARCH("Junior",Scherpenzeel!E25)),Scherpenzeel!C25,"")</f>
        <v/>
      </c>
      <c r="AB90">
        <f>IF(AA90="",0,IF(COUNTIF($AA$1:AA90,AA90)=1,1,0))</f>
        <v>0</v>
      </c>
      <c r="AC90" t="str">
        <f>IF(AB90=1,COUNTIF($AB$1:AB90,1),"")</f>
        <v/>
      </c>
    </row>
    <row r="91" spans="1:29" x14ac:dyDescent="0.25">
      <c r="A91" s="13" t="str">
        <f>IFERROR(INDEX($AA$1:$AA$368,MATCH(88,$AC$1:$AC$368,0)),"")</f>
        <v/>
      </c>
      <c r="B91" s="13" t="str">
        <f>IF($A91="","",IF(IFERROR(INDEX(Barneveld!$E$4:$E$36,MATCH($A91,Barneveld!$C$4:$C$36,0)),"")&lt;&gt;"",IFERROR(INDEX(Barneveld!$E$4:$E$36,MATCH($A91,Barneveld!$C$4:$C$36,0)),""),IF(IFERROR(INDEX(Baarn!$F$4:$F$38,MATCH($A91,Baarn!$C$4:$C$38,0)),"")&lt;&gt;"",IFERROR(INDEX(Baarn!$F$4:$F$38,MATCH($A91,Baarn!$C$4:$C$38,0)),""),IF(IFERROR(INDEX(Scherpenzeel!$F$4:$F$103,MATCH($A91,Scherpenzeel!$C$4:$C$103,0)),"")&lt;&gt;"",IFERROR(INDEX(Scherpenzeel!$F$4:$F$103,MATCH($A91,Scherpenzeel!$C$4:$C$103,0)),""),IF(IFERROR(INDEX('4'!$F$4:$F$103,MATCH($A91,'4'!$C$4:$C$103,0)),"")&lt;&gt;"",IFERROR(INDEX('4'!$F$4:$F$103,MATCH($A91,'4'!$C$4:$C$103,0)),""),IFERROR(INDEX('5'!$F$4:$F$103,MATCH($A91,'5'!$C$4:$C$103,0)),""))))))</f>
        <v/>
      </c>
      <c r="C91" s="13" t="str">
        <f>IF($A91="","",IF(IFERROR(INDEX(Barneveld!$D$4:$D$36,MATCH($A91,Barneveld!$C$4:$C$36,0)),"")&lt;&gt;"",IFERROR(INDEX(Barneveld!$D$4:$D$36,MATCH($A91,Barneveld!$C$4:$C$36,0)),""),IF(IFERROR(INDEX(Baarn!$E$4:$E$38,MATCH($A91,Baarn!$C$4:$C$38,0)),"")&lt;&gt;"",IFERROR(INDEX(Baarn!$E$4:$E$38,MATCH($A91,Baarn!$C$4:$C$38,0)),""),IF(IFERROR(INDEX(Scherpenzeel!$E$4:$E$103,MATCH($A91,Scherpenzeel!$C$4:$C$103,0)),"")&lt;&gt;"",IFERROR(INDEX(Scherpenzeel!$E$4:$E$103,MATCH($A91,Scherpenzeel!$C$4:$C$103,0)),""),IF(IFERROR(INDEX('4'!$E$4:$E$103,MATCH($A91,'4'!$C$4:$C$103,0)),"")&lt;&gt;"",IFERROR(INDEX('4'!$E$4:$E$103,MATCH($A91,'4'!$C$4:$C$103,0)),""),IFERROR(INDEX('5'!$E$4:$E$103,MATCH($A91,'5'!$C$4:$C$103,0)),""))))))</f>
        <v/>
      </c>
      <c r="D91" s="24" t="str">
        <f>IF($A91="","",IFERROR(INDEX(Barneveld!$A$4:$A$36,MATCH($A91,Barneveld!$C$4:$C$36,0)),""))</f>
        <v/>
      </c>
      <c r="E91" s="15">
        <f>IF($A91="",0,IFERROR(INDEX(Barneveld!$H$4:$H$36,MATCH($A91,Barneveld!$C$4:$C$36,0)),0))</f>
        <v>0</v>
      </c>
      <c r="F91" s="24" t="str">
        <f>IF($A91="","",IFERROR(INDEX(Baarn!$A$4:$A$38,MATCH($A91,Baarn!$C$4:$C$38,0)),""))</f>
        <v/>
      </c>
      <c r="G91" s="15">
        <f>IF($A91="",0,IFERROR(INDEX(Baarn!$I$4:$I$38,MATCH($A91,Baarn!$C$4:$C$38,0)),0))</f>
        <v>0</v>
      </c>
      <c r="H91" s="24" t="str">
        <f>IF($A91="","",IFERROR(INDEX(Scherpenzeel!$A$4:$A$103,MATCH($A91,Scherpenzeel!$C$4:$C$103,0)),""))</f>
        <v/>
      </c>
      <c r="I91" s="15">
        <f>IF($A91="",0,IFERROR(INDEX(Scherpenzeel!$I$4:$I$103,MATCH($A91,Scherpenzeel!$C$4:$C$103,0)),0))</f>
        <v>0</v>
      </c>
      <c r="J91" s="24" t="str">
        <f>IF($A91="","",IFERROR(INDEX('4'!$A$4:$A$103,MATCH($A91,'4'!$C$4:$C$103,0)),""))</f>
        <v/>
      </c>
      <c r="K91" s="15">
        <f>IF($A91="",0,IFERROR(INDEX('4'!$I$4:$I$103,MATCH($A91,'4'!$C$4:$C$103,0)),0))</f>
        <v>0</v>
      </c>
      <c r="L91" s="24" t="str">
        <f>IF($A91="","",IFERROR(INDEX('5'!$A$4:$A$103,MATCH($A91,'5'!$C$4:$C$103,0)),""))</f>
        <v/>
      </c>
      <c r="M91" s="15">
        <f>IF($A91="",0,IFERROR(INDEX('5'!$I$4:$I$103,MATCH($A91,'5'!$C$4:$C$103,0)),0))</f>
        <v>0</v>
      </c>
      <c r="N91" s="25" t="str">
        <f t="shared" si="4"/>
        <v/>
      </c>
      <c r="O91" s="26" t="str">
        <f t="shared" si="5"/>
        <v/>
      </c>
      <c r="AA91" t="str">
        <f>IF(ISNUMBER(SEARCH("Junior",Scherpenzeel!E26)),Scherpenzeel!C26,"")</f>
        <v/>
      </c>
      <c r="AB91">
        <f>IF(AA91="",0,IF(COUNTIF($AA$1:AA91,AA91)=1,1,0))</f>
        <v>0</v>
      </c>
      <c r="AC91" t="str">
        <f>IF(AB91=1,COUNTIF($AB$1:AB91,1),"")</f>
        <v/>
      </c>
    </row>
    <row r="92" spans="1:29" x14ac:dyDescent="0.25">
      <c r="A92" s="13" t="str">
        <f>IFERROR(INDEX($AA$1:$AA$368,MATCH(89,$AC$1:$AC$368,0)),"")</f>
        <v/>
      </c>
      <c r="B92" s="13" t="str">
        <f>IF($A92="","",IF(IFERROR(INDEX(Barneveld!$E$4:$E$36,MATCH($A92,Barneveld!$C$4:$C$36,0)),"")&lt;&gt;"",IFERROR(INDEX(Barneveld!$E$4:$E$36,MATCH($A92,Barneveld!$C$4:$C$36,0)),""),IF(IFERROR(INDEX(Baarn!$F$4:$F$38,MATCH($A92,Baarn!$C$4:$C$38,0)),"")&lt;&gt;"",IFERROR(INDEX(Baarn!$F$4:$F$38,MATCH($A92,Baarn!$C$4:$C$38,0)),""),IF(IFERROR(INDEX(Scherpenzeel!$F$4:$F$103,MATCH($A92,Scherpenzeel!$C$4:$C$103,0)),"")&lt;&gt;"",IFERROR(INDEX(Scherpenzeel!$F$4:$F$103,MATCH($A92,Scherpenzeel!$C$4:$C$103,0)),""),IF(IFERROR(INDEX('4'!$F$4:$F$103,MATCH($A92,'4'!$C$4:$C$103,0)),"")&lt;&gt;"",IFERROR(INDEX('4'!$F$4:$F$103,MATCH($A92,'4'!$C$4:$C$103,0)),""),IFERROR(INDEX('5'!$F$4:$F$103,MATCH($A92,'5'!$C$4:$C$103,0)),""))))))</f>
        <v/>
      </c>
      <c r="C92" s="13" t="str">
        <f>IF($A92="","",IF(IFERROR(INDEX(Barneveld!$D$4:$D$36,MATCH($A92,Barneveld!$C$4:$C$36,0)),"")&lt;&gt;"",IFERROR(INDEX(Barneveld!$D$4:$D$36,MATCH($A92,Barneveld!$C$4:$C$36,0)),""),IF(IFERROR(INDEX(Baarn!$E$4:$E$38,MATCH($A92,Baarn!$C$4:$C$38,0)),"")&lt;&gt;"",IFERROR(INDEX(Baarn!$E$4:$E$38,MATCH($A92,Baarn!$C$4:$C$38,0)),""),IF(IFERROR(INDEX(Scherpenzeel!$E$4:$E$103,MATCH($A92,Scherpenzeel!$C$4:$C$103,0)),"")&lt;&gt;"",IFERROR(INDEX(Scherpenzeel!$E$4:$E$103,MATCH($A92,Scherpenzeel!$C$4:$C$103,0)),""),IF(IFERROR(INDEX('4'!$E$4:$E$103,MATCH($A92,'4'!$C$4:$C$103,0)),"")&lt;&gt;"",IFERROR(INDEX('4'!$E$4:$E$103,MATCH($A92,'4'!$C$4:$C$103,0)),""),IFERROR(INDEX('5'!$E$4:$E$103,MATCH($A92,'5'!$C$4:$C$103,0)),""))))))</f>
        <v/>
      </c>
      <c r="D92" s="24" t="str">
        <f>IF($A92="","",IFERROR(INDEX(Barneveld!$A$4:$A$36,MATCH($A92,Barneveld!$C$4:$C$36,0)),""))</f>
        <v/>
      </c>
      <c r="E92" s="15">
        <f>IF($A92="",0,IFERROR(INDEX(Barneveld!$H$4:$H$36,MATCH($A92,Barneveld!$C$4:$C$36,0)),0))</f>
        <v>0</v>
      </c>
      <c r="F92" s="24" t="str">
        <f>IF($A92="","",IFERROR(INDEX(Baarn!$A$4:$A$38,MATCH($A92,Baarn!$C$4:$C$38,0)),""))</f>
        <v/>
      </c>
      <c r="G92" s="15">
        <f>IF($A92="",0,IFERROR(INDEX(Baarn!$I$4:$I$38,MATCH($A92,Baarn!$C$4:$C$38,0)),0))</f>
        <v>0</v>
      </c>
      <c r="H92" s="24" t="str">
        <f>IF($A92="","",IFERROR(INDEX(Scherpenzeel!$A$4:$A$103,MATCH($A92,Scherpenzeel!$C$4:$C$103,0)),""))</f>
        <v/>
      </c>
      <c r="I92" s="15">
        <f>IF($A92="",0,IFERROR(INDEX(Scherpenzeel!$I$4:$I$103,MATCH($A92,Scherpenzeel!$C$4:$C$103,0)),0))</f>
        <v>0</v>
      </c>
      <c r="J92" s="24" t="str">
        <f>IF($A92="","",IFERROR(INDEX('4'!$A$4:$A$103,MATCH($A92,'4'!$C$4:$C$103,0)),""))</f>
        <v/>
      </c>
      <c r="K92" s="15">
        <f>IF($A92="",0,IFERROR(INDEX('4'!$I$4:$I$103,MATCH($A92,'4'!$C$4:$C$103,0)),0))</f>
        <v>0</v>
      </c>
      <c r="L92" s="24" t="str">
        <f>IF($A92="","",IFERROR(INDEX('5'!$A$4:$A$103,MATCH($A92,'5'!$C$4:$C$103,0)),""))</f>
        <v/>
      </c>
      <c r="M92" s="15">
        <f>IF($A92="",0,IFERROR(INDEX('5'!$I$4:$I$103,MATCH($A92,'5'!$C$4:$C$103,0)),0))</f>
        <v>0</v>
      </c>
      <c r="N92" s="25" t="str">
        <f t="shared" si="4"/>
        <v/>
      </c>
      <c r="O92" s="26" t="str">
        <f t="shared" si="5"/>
        <v/>
      </c>
      <c r="AA92" t="str">
        <f>IF(ISNUMBER(SEARCH("Junior",Scherpenzeel!E27)),Scherpenzeel!C27,"")</f>
        <v/>
      </c>
      <c r="AB92">
        <f>IF(AA92="",0,IF(COUNTIF($AA$1:AA92,AA92)=1,1,0))</f>
        <v>0</v>
      </c>
      <c r="AC92" t="str">
        <f>IF(AB92=1,COUNTIF($AB$1:AB92,1),"")</f>
        <v/>
      </c>
    </row>
    <row r="93" spans="1:29" x14ac:dyDescent="0.25">
      <c r="A93" s="13" t="str">
        <f>IFERROR(INDEX($AA$1:$AA$368,MATCH(90,$AC$1:$AC$368,0)),"")</f>
        <v/>
      </c>
      <c r="B93" s="13" t="str">
        <f>IF($A93="","",IF(IFERROR(INDEX(Barneveld!$E$4:$E$36,MATCH($A93,Barneveld!$C$4:$C$36,0)),"")&lt;&gt;"",IFERROR(INDEX(Barneveld!$E$4:$E$36,MATCH($A93,Barneveld!$C$4:$C$36,0)),""),IF(IFERROR(INDEX(Baarn!$F$4:$F$38,MATCH($A93,Baarn!$C$4:$C$38,0)),"")&lt;&gt;"",IFERROR(INDEX(Baarn!$F$4:$F$38,MATCH($A93,Baarn!$C$4:$C$38,0)),""),IF(IFERROR(INDEX(Scherpenzeel!$F$4:$F$103,MATCH($A93,Scherpenzeel!$C$4:$C$103,0)),"")&lt;&gt;"",IFERROR(INDEX(Scherpenzeel!$F$4:$F$103,MATCH($A93,Scherpenzeel!$C$4:$C$103,0)),""),IF(IFERROR(INDEX('4'!$F$4:$F$103,MATCH($A93,'4'!$C$4:$C$103,0)),"")&lt;&gt;"",IFERROR(INDEX('4'!$F$4:$F$103,MATCH($A93,'4'!$C$4:$C$103,0)),""),IFERROR(INDEX('5'!$F$4:$F$103,MATCH($A93,'5'!$C$4:$C$103,0)),""))))))</f>
        <v/>
      </c>
      <c r="C93" s="13" t="str">
        <f>IF($A93="","",IF(IFERROR(INDEX(Barneveld!$D$4:$D$36,MATCH($A93,Barneveld!$C$4:$C$36,0)),"")&lt;&gt;"",IFERROR(INDEX(Barneveld!$D$4:$D$36,MATCH($A93,Barneveld!$C$4:$C$36,0)),""),IF(IFERROR(INDEX(Baarn!$E$4:$E$38,MATCH($A93,Baarn!$C$4:$C$38,0)),"")&lt;&gt;"",IFERROR(INDEX(Baarn!$E$4:$E$38,MATCH($A93,Baarn!$C$4:$C$38,0)),""),IF(IFERROR(INDEX(Scherpenzeel!$E$4:$E$103,MATCH($A93,Scherpenzeel!$C$4:$C$103,0)),"")&lt;&gt;"",IFERROR(INDEX(Scherpenzeel!$E$4:$E$103,MATCH($A93,Scherpenzeel!$C$4:$C$103,0)),""),IF(IFERROR(INDEX('4'!$E$4:$E$103,MATCH($A93,'4'!$C$4:$C$103,0)),"")&lt;&gt;"",IFERROR(INDEX('4'!$E$4:$E$103,MATCH($A93,'4'!$C$4:$C$103,0)),""),IFERROR(INDEX('5'!$E$4:$E$103,MATCH($A93,'5'!$C$4:$C$103,0)),""))))))</f>
        <v/>
      </c>
      <c r="D93" s="24" t="str">
        <f>IF($A93="","",IFERROR(INDEX(Barneveld!$A$4:$A$36,MATCH($A93,Barneveld!$C$4:$C$36,0)),""))</f>
        <v/>
      </c>
      <c r="E93" s="15">
        <f>IF($A93="",0,IFERROR(INDEX(Barneveld!$H$4:$H$36,MATCH($A93,Barneveld!$C$4:$C$36,0)),0))</f>
        <v>0</v>
      </c>
      <c r="F93" s="24" t="str">
        <f>IF($A93="","",IFERROR(INDEX(Baarn!$A$4:$A$38,MATCH($A93,Baarn!$C$4:$C$38,0)),""))</f>
        <v/>
      </c>
      <c r="G93" s="15">
        <f>IF($A93="",0,IFERROR(INDEX(Baarn!$I$4:$I$38,MATCH($A93,Baarn!$C$4:$C$38,0)),0))</f>
        <v>0</v>
      </c>
      <c r="H93" s="24" t="str">
        <f>IF($A93="","",IFERROR(INDEX(Scherpenzeel!$A$4:$A$103,MATCH($A93,Scherpenzeel!$C$4:$C$103,0)),""))</f>
        <v/>
      </c>
      <c r="I93" s="15">
        <f>IF($A93="",0,IFERROR(INDEX(Scherpenzeel!$I$4:$I$103,MATCH($A93,Scherpenzeel!$C$4:$C$103,0)),0))</f>
        <v>0</v>
      </c>
      <c r="J93" s="24" t="str">
        <f>IF($A93="","",IFERROR(INDEX('4'!$A$4:$A$103,MATCH($A93,'4'!$C$4:$C$103,0)),""))</f>
        <v/>
      </c>
      <c r="K93" s="15">
        <f>IF($A93="",0,IFERROR(INDEX('4'!$I$4:$I$103,MATCH($A93,'4'!$C$4:$C$103,0)),0))</f>
        <v>0</v>
      </c>
      <c r="L93" s="24" t="str">
        <f>IF($A93="","",IFERROR(INDEX('5'!$A$4:$A$103,MATCH($A93,'5'!$C$4:$C$103,0)),""))</f>
        <v/>
      </c>
      <c r="M93" s="15">
        <f>IF($A93="",0,IFERROR(INDEX('5'!$I$4:$I$103,MATCH($A93,'5'!$C$4:$C$103,0)),0))</f>
        <v>0</v>
      </c>
      <c r="N93" s="25" t="str">
        <f t="shared" si="4"/>
        <v/>
      </c>
      <c r="O93" s="26" t="str">
        <f t="shared" si="5"/>
        <v/>
      </c>
      <c r="AA93" t="str">
        <f>IF(ISNUMBER(SEARCH("Junior",Scherpenzeel!E28)),Scherpenzeel!C28,"")</f>
        <v/>
      </c>
      <c r="AB93">
        <f>IF(AA93="",0,IF(COUNTIF($AA$1:AA93,AA93)=1,1,0))</f>
        <v>0</v>
      </c>
      <c r="AC93" t="str">
        <f>IF(AB93=1,COUNTIF($AB$1:AB93,1),"")</f>
        <v/>
      </c>
    </row>
    <row r="94" spans="1:29" x14ac:dyDescent="0.25">
      <c r="A94" s="13" t="str">
        <f>IFERROR(INDEX($AA$1:$AA$368,MATCH(91,$AC$1:$AC$368,0)),"")</f>
        <v/>
      </c>
      <c r="B94" s="13" t="str">
        <f>IF($A94="","",IF(IFERROR(INDEX(Barneveld!$E$4:$E$36,MATCH($A94,Barneveld!$C$4:$C$36,0)),"")&lt;&gt;"",IFERROR(INDEX(Barneveld!$E$4:$E$36,MATCH($A94,Barneveld!$C$4:$C$36,0)),""),IF(IFERROR(INDEX(Baarn!$F$4:$F$38,MATCH($A94,Baarn!$C$4:$C$38,0)),"")&lt;&gt;"",IFERROR(INDEX(Baarn!$F$4:$F$38,MATCH($A94,Baarn!$C$4:$C$38,0)),""),IF(IFERROR(INDEX(Scherpenzeel!$F$4:$F$103,MATCH($A94,Scherpenzeel!$C$4:$C$103,0)),"")&lt;&gt;"",IFERROR(INDEX(Scherpenzeel!$F$4:$F$103,MATCH($A94,Scherpenzeel!$C$4:$C$103,0)),""),IF(IFERROR(INDEX('4'!$F$4:$F$103,MATCH($A94,'4'!$C$4:$C$103,0)),"")&lt;&gt;"",IFERROR(INDEX('4'!$F$4:$F$103,MATCH($A94,'4'!$C$4:$C$103,0)),""),IFERROR(INDEX('5'!$F$4:$F$103,MATCH($A94,'5'!$C$4:$C$103,0)),""))))))</f>
        <v/>
      </c>
      <c r="C94" s="13" t="str">
        <f>IF($A94="","",IF(IFERROR(INDEX(Barneveld!$D$4:$D$36,MATCH($A94,Barneveld!$C$4:$C$36,0)),"")&lt;&gt;"",IFERROR(INDEX(Barneveld!$D$4:$D$36,MATCH($A94,Barneveld!$C$4:$C$36,0)),""),IF(IFERROR(INDEX(Baarn!$E$4:$E$38,MATCH($A94,Baarn!$C$4:$C$38,0)),"")&lt;&gt;"",IFERROR(INDEX(Baarn!$E$4:$E$38,MATCH($A94,Baarn!$C$4:$C$38,0)),""),IF(IFERROR(INDEX(Scherpenzeel!$E$4:$E$103,MATCH($A94,Scherpenzeel!$C$4:$C$103,0)),"")&lt;&gt;"",IFERROR(INDEX(Scherpenzeel!$E$4:$E$103,MATCH($A94,Scherpenzeel!$C$4:$C$103,0)),""),IF(IFERROR(INDEX('4'!$E$4:$E$103,MATCH($A94,'4'!$C$4:$C$103,0)),"")&lt;&gt;"",IFERROR(INDEX('4'!$E$4:$E$103,MATCH($A94,'4'!$C$4:$C$103,0)),""),IFERROR(INDEX('5'!$E$4:$E$103,MATCH($A94,'5'!$C$4:$C$103,0)),""))))))</f>
        <v/>
      </c>
      <c r="D94" s="24" t="str">
        <f>IF($A94="","",IFERROR(INDEX(Barneveld!$A$4:$A$36,MATCH($A94,Barneveld!$C$4:$C$36,0)),""))</f>
        <v/>
      </c>
      <c r="E94" s="15">
        <f>IF($A94="",0,IFERROR(INDEX(Barneveld!$H$4:$H$36,MATCH($A94,Barneveld!$C$4:$C$36,0)),0))</f>
        <v>0</v>
      </c>
      <c r="F94" s="24" t="str">
        <f>IF($A94="","",IFERROR(INDEX(Baarn!$A$4:$A$38,MATCH($A94,Baarn!$C$4:$C$38,0)),""))</f>
        <v/>
      </c>
      <c r="G94" s="15">
        <f>IF($A94="",0,IFERROR(INDEX(Baarn!$I$4:$I$38,MATCH($A94,Baarn!$C$4:$C$38,0)),0))</f>
        <v>0</v>
      </c>
      <c r="H94" s="24" t="str">
        <f>IF($A94="","",IFERROR(INDEX(Scherpenzeel!$A$4:$A$103,MATCH($A94,Scherpenzeel!$C$4:$C$103,0)),""))</f>
        <v/>
      </c>
      <c r="I94" s="15">
        <f>IF($A94="",0,IFERROR(INDEX(Scherpenzeel!$I$4:$I$103,MATCH($A94,Scherpenzeel!$C$4:$C$103,0)),0))</f>
        <v>0</v>
      </c>
      <c r="J94" s="24" t="str">
        <f>IF($A94="","",IFERROR(INDEX('4'!$A$4:$A$103,MATCH($A94,'4'!$C$4:$C$103,0)),""))</f>
        <v/>
      </c>
      <c r="K94" s="15">
        <f>IF($A94="",0,IFERROR(INDEX('4'!$I$4:$I$103,MATCH($A94,'4'!$C$4:$C$103,0)),0))</f>
        <v>0</v>
      </c>
      <c r="L94" s="24" t="str">
        <f>IF($A94="","",IFERROR(INDEX('5'!$A$4:$A$103,MATCH($A94,'5'!$C$4:$C$103,0)),""))</f>
        <v/>
      </c>
      <c r="M94" s="15">
        <f>IF($A94="",0,IFERROR(INDEX('5'!$I$4:$I$103,MATCH($A94,'5'!$C$4:$C$103,0)),0))</f>
        <v>0</v>
      </c>
      <c r="N94" s="25" t="str">
        <f t="shared" si="4"/>
        <v/>
      </c>
      <c r="O94" s="26" t="str">
        <f t="shared" si="5"/>
        <v/>
      </c>
      <c r="AA94" t="str">
        <f>IF(ISNUMBER(SEARCH("Junior",Scherpenzeel!E29)),Scherpenzeel!C29,"")</f>
        <v>Marijn van Buren</v>
      </c>
      <c r="AB94">
        <f>IF(AA94="",0,IF(COUNTIF($AA$1:AA94,AA94)=1,1,0))</f>
        <v>1</v>
      </c>
      <c r="AC94">
        <f>IF(AB94=1,COUNTIF($AB$1:AB94,1),"")</f>
        <v>17</v>
      </c>
    </row>
    <row r="95" spans="1:29" x14ac:dyDescent="0.25">
      <c r="A95" s="13" t="str">
        <f>IFERROR(INDEX($AA$1:$AA$368,MATCH(92,$AC$1:$AC$368,0)),"")</f>
        <v/>
      </c>
      <c r="B95" s="13" t="str">
        <f>IF($A95="","",IF(IFERROR(INDEX(Barneveld!$E$4:$E$36,MATCH($A95,Barneveld!$C$4:$C$36,0)),"")&lt;&gt;"",IFERROR(INDEX(Barneveld!$E$4:$E$36,MATCH($A95,Barneveld!$C$4:$C$36,0)),""),IF(IFERROR(INDEX(Baarn!$F$4:$F$38,MATCH($A95,Baarn!$C$4:$C$38,0)),"")&lt;&gt;"",IFERROR(INDEX(Baarn!$F$4:$F$38,MATCH($A95,Baarn!$C$4:$C$38,0)),""),IF(IFERROR(INDEX(Scherpenzeel!$F$4:$F$103,MATCH($A95,Scherpenzeel!$C$4:$C$103,0)),"")&lt;&gt;"",IFERROR(INDEX(Scherpenzeel!$F$4:$F$103,MATCH($A95,Scherpenzeel!$C$4:$C$103,0)),""),IF(IFERROR(INDEX('4'!$F$4:$F$103,MATCH($A95,'4'!$C$4:$C$103,0)),"")&lt;&gt;"",IFERROR(INDEX('4'!$F$4:$F$103,MATCH($A95,'4'!$C$4:$C$103,0)),""),IFERROR(INDEX('5'!$F$4:$F$103,MATCH($A95,'5'!$C$4:$C$103,0)),""))))))</f>
        <v/>
      </c>
      <c r="C95" s="13" t="str">
        <f>IF($A95="","",IF(IFERROR(INDEX(Barneveld!$D$4:$D$36,MATCH($A95,Barneveld!$C$4:$C$36,0)),"")&lt;&gt;"",IFERROR(INDEX(Barneveld!$D$4:$D$36,MATCH($A95,Barneveld!$C$4:$C$36,0)),""),IF(IFERROR(INDEX(Baarn!$E$4:$E$38,MATCH($A95,Baarn!$C$4:$C$38,0)),"")&lt;&gt;"",IFERROR(INDEX(Baarn!$E$4:$E$38,MATCH($A95,Baarn!$C$4:$C$38,0)),""),IF(IFERROR(INDEX(Scherpenzeel!$E$4:$E$103,MATCH($A95,Scherpenzeel!$C$4:$C$103,0)),"")&lt;&gt;"",IFERROR(INDEX(Scherpenzeel!$E$4:$E$103,MATCH($A95,Scherpenzeel!$C$4:$C$103,0)),""),IF(IFERROR(INDEX('4'!$E$4:$E$103,MATCH($A95,'4'!$C$4:$C$103,0)),"")&lt;&gt;"",IFERROR(INDEX('4'!$E$4:$E$103,MATCH($A95,'4'!$C$4:$C$103,0)),""),IFERROR(INDEX('5'!$E$4:$E$103,MATCH($A95,'5'!$C$4:$C$103,0)),""))))))</f>
        <v/>
      </c>
      <c r="D95" s="24" t="str">
        <f>IF($A95="","",IFERROR(INDEX(Barneveld!$A$4:$A$36,MATCH($A95,Barneveld!$C$4:$C$36,0)),""))</f>
        <v/>
      </c>
      <c r="E95" s="15">
        <f>IF($A95="",0,IFERROR(INDEX(Barneveld!$H$4:$H$36,MATCH($A95,Barneveld!$C$4:$C$36,0)),0))</f>
        <v>0</v>
      </c>
      <c r="F95" s="24" t="str">
        <f>IF($A95="","",IFERROR(INDEX(Baarn!$A$4:$A$38,MATCH($A95,Baarn!$C$4:$C$38,0)),""))</f>
        <v/>
      </c>
      <c r="G95" s="15">
        <f>IF($A95="",0,IFERROR(INDEX(Baarn!$I$4:$I$38,MATCH($A95,Baarn!$C$4:$C$38,0)),0))</f>
        <v>0</v>
      </c>
      <c r="H95" s="24" t="str">
        <f>IF($A95="","",IFERROR(INDEX(Scherpenzeel!$A$4:$A$103,MATCH($A95,Scherpenzeel!$C$4:$C$103,0)),""))</f>
        <v/>
      </c>
      <c r="I95" s="15">
        <f>IF($A95="",0,IFERROR(INDEX(Scherpenzeel!$I$4:$I$103,MATCH($A95,Scherpenzeel!$C$4:$C$103,0)),0))</f>
        <v>0</v>
      </c>
      <c r="J95" s="24" t="str">
        <f>IF($A95="","",IFERROR(INDEX('4'!$A$4:$A$103,MATCH($A95,'4'!$C$4:$C$103,0)),""))</f>
        <v/>
      </c>
      <c r="K95" s="15">
        <f>IF($A95="",0,IFERROR(INDEX('4'!$I$4:$I$103,MATCH($A95,'4'!$C$4:$C$103,0)),0))</f>
        <v>0</v>
      </c>
      <c r="L95" s="24" t="str">
        <f>IF($A95="","",IFERROR(INDEX('5'!$A$4:$A$103,MATCH($A95,'5'!$C$4:$C$103,0)),""))</f>
        <v/>
      </c>
      <c r="M95" s="15">
        <f>IF($A95="",0,IFERROR(INDEX('5'!$I$4:$I$103,MATCH($A95,'5'!$C$4:$C$103,0)),0))</f>
        <v>0</v>
      </c>
      <c r="N95" s="25" t="str">
        <f t="shared" si="4"/>
        <v/>
      </c>
      <c r="O95" s="26" t="str">
        <f t="shared" si="5"/>
        <v/>
      </c>
      <c r="AA95" t="str">
        <f>IF(ISNUMBER(SEARCH("Junior",Scherpenzeel!E30)),Scherpenzeel!C30,"")</f>
        <v>Roan van de Steeg</v>
      </c>
      <c r="AB95">
        <f>IF(AA95="",0,IF(COUNTIF($AA$1:AA95,AA95)=1,1,0))</f>
        <v>1</v>
      </c>
      <c r="AC95">
        <f>IF(AB95=1,COUNTIF($AB$1:AB95,1),"")</f>
        <v>18</v>
      </c>
    </row>
    <row r="96" spans="1:29" x14ac:dyDescent="0.25">
      <c r="A96" s="13" t="str">
        <f>IFERROR(INDEX($AA$1:$AA$368,MATCH(93,$AC$1:$AC$368,0)),"")</f>
        <v/>
      </c>
      <c r="B96" s="13" t="str">
        <f>IF($A96="","",IF(IFERROR(INDEX(Barneveld!$E$4:$E$36,MATCH($A96,Barneveld!$C$4:$C$36,0)),"")&lt;&gt;"",IFERROR(INDEX(Barneveld!$E$4:$E$36,MATCH($A96,Barneveld!$C$4:$C$36,0)),""),IF(IFERROR(INDEX(Baarn!$F$4:$F$38,MATCH($A96,Baarn!$C$4:$C$38,0)),"")&lt;&gt;"",IFERROR(INDEX(Baarn!$F$4:$F$38,MATCH($A96,Baarn!$C$4:$C$38,0)),""),IF(IFERROR(INDEX(Scherpenzeel!$F$4:$F$103,MATCH($A96,Scherpenzeel!$C$4:$C$103,0)),"")&lt;&gt;"",IFERROR(INDEX(Scherpenzeel!$F$4:$F$103,MATCH($A96,Scherpenzeel!$C$4:$C$103,0)),""),IF(IFERROR(INDEX('4'!$F$4:$F$103,MATCH($A96,'4'!$C$4:$C$103,0)),"")&lt;&gt;"",IFERROR(INDEX('4'!$F$4:$F$103,MATCH($A96,'4'!$C$4:$C$103,0)),""),IFERROR(INDEX('5'!$F$4:$F$103,MATCH($A96,'5'!$C$4:$C$103,0)),""))))))</f>
        <v/>
      </c>
      <c r="C96" s="13" t="str">
        <f>IF($A96="","",IF(IFERROR(INDEX(Barneveld!$D$4:$D$36,MATCH($A96,Barneveld!$C$4:$C$36,0)),"")&lt;&gt;"",IFERROR(INDEX(Barneveld!$D$4:$D$36,MATCH($A96,Barneveld!$C$4:$C$36,0)),""),IF(IFERROR(INDEX(Baarn!$E$4:$E$38,MATCH($A96,Baarn!$C$4:$C$38,0)),"")&lt;&gt;"",IFERROR(INDEX(Baarn!$E$4:$E$38,MATCH($A96,Baarn!$C$4:$C$38,0)),""),IF(IFERROR(INDEX(Scherpenzeel!$E$4:$E$103,MATCH($A96,Scherpenzeel!$C$4:$C$103,0)),"")&lt;&gt;"",IFERROR(INDEX(Scherpenzeel!$E$4:$E$103,MATCH($A96,Scherpenzeel!$C$4:$C$103,0)),""),IF(IFERROR(INDEX('4'!$E$4:$E$103,MATCH($A96,'4'!$C$4:$C$103,0)),"")&lt;&gt;"",IFERROR(INDEX('4'!$E$4:$E$103,MATCH($A96,'4'!$C$4:$C$103,0)),""),IFERROR(INDEX('5'!$E$4:$E$103,MATCH($A96,'5'!$C$4:$C$103,0)),""))))))</f>
        <v/>
      </c>
      <c r="D96" s="24" t="str">
        <f>IF($A96="","",IFERROR(INDEX(Barneveld!$A$4:$A$36,MATCH($A96,Barneveld!$C$4:$C$36,0)),""))</f>
        <v/>
      </c>
      <c r="E96" s="15">
        <f>IF($A96="",0,IFERROR(INDEX(Barneveld!$H$4:$H$36,MATCH($A96,Barneveld!$C$4:$C$36,0)),0))</f>
        <v>0</v>
      </c>
      <c r="F96" s="24" t="str">
        <f>IF($A96="","",IFERROR(INDEX(Baarn!$A$4:$A$38,MATCH($A96,Baarn!$C$4:$C$38,0)),""))</f>
        <v/>
      </c>
      <c r="G96" s="15">
        <f>IF($A96="",0,IFERROR(INDEX(Baarn!$I$4:$I$38,MATCH($A96,Baarn!$C$4:$C$38,0)),0))</f>
        <v>0</v>
      </c>
      <c r="H96" s="24" t="str">
        <f>IF($A96="","",IFERROR(INDEX(Scherpenzeel!$A$4:$A$103,MATCH($A96,Scherpenzeel!$C$4:$C$103,0)),""))</f>
        <v/>
      </c>
      <c r="I96" s="15">
        <f>IF($A96="",0,IFERROR(INDEX(Scherpenzeel!$I$4:$I$103,MATCH($A96,Scherpenzeel!$C$4:$C$103,0)),0))</f>
        <v>0</v>
      </c>
      <c r="J96" s="24" t="str">
        <f>IF($A96="","",IFERROR(INDEX('4'!$A$4:$A$103,MATCH($A96,'4'!$C$4:$C$103,0)),""))</f>
        <v/>
      </c>
      <c r="K96" s="15">
        <f>IF($A96="",0,IFERROR(INDEX('4'!$I$4:$I$103,MATCH($A96,'4'!$C$4:$C$103,0)),0))</f>
        <v>0</v>
      </c>
      <c r="L96" s="24" t="str">
        <f>IF($A96="","",IFERROR(INDEX('5'!$A$4:$A$103,MATCH($A96,'5'!$C$4:$C$103,0)),""))</f>
        <v/>
      </c>
      <c r="M96" s="15">
        <f>IF($A96="",0,IFERROR(INDEX('5'!$I$4:$I$103,MATCH($A96,'5'!$C$4:$C$103,0)),0))</f>
        <v>0</v>
      </c>
      <c r="N96" s="25" t="str">
        <f t="shared" si="4"/>
        <v/>
      </c>
      <c r="O96" s="26" t="str">
        <f t="shared" si="5"/>
        <v/>
      </c>
      <c r="AA96" t="str">
        <f>IF(ISNUMBER(SEARCH("Junior",Scherpenzeel!E31)),Scherpenzeel!C31,"")</f>
        <v>Finn Bouwer</v>
      </c>
      <c r="AB96">
        <f>IF(AA96="",0,IF(COUNTIF($AA$1:AA96,AA96)=1,1,0))</f>
        <v>1</v>
      </c>
      <c r="AC96">
        <f>IF(AB96=1,COUNTIF($AB$1:AB96,1),"")</f>
        <v>19</v>
      </c>
    </row>
    <row r="97" spans="1:29" x14ac:dyDescent="0.25">
      <c r="A97" s="13" t="str">
        <f>IFERROR(INDEX($AA$1:$AA$368,MATCH(94,$AC$1:$AC$368,0)),"")</f>
        <v/>
      </c>
      <c r="B97" s="13" t="str">
        <f>IF($A97="","",IF(IFERROR(INDEX(Barneveld!$E$4:$E$36,MATCH($A97,Barneveld!$C$4:$C$36,0)),"")&lt;&gt;"",IFERROR(INDEX(Barneveld!$E$4:$E$36,MATCH($A97,Barneveld!$C$4:$C$36,0)),""),IF(IFERROR(INDEX(Baarn!$F$4:$F$38,MATCH($A97,Baarn!$C$4:$C$38,0)),"")&lt;&gt;"",IFERROR(INDEX(Baarn!$F$4:$F$38,MATCH($A97,Baarn!$C$4:$C$38,0)),""),IF(IFERROR(INDEX(Scherpenzeel!$F$4:$F$103,MATCH($A97,Scherpenzeel!$C$4:$C$103,0)),"")&lt;&gt;"",IFERROR(INDEX(Scherpenzeel!$F$4:$F$103,MATCH($A97,Scherpenzeel!$C$4:$C$103,0)),""),IF(IFERROR(INDEX('4'!$F$4:$F$103,MATCH($A97,'4'!$C$4:$C$103,0)),"")&lt;&gt;"",IFERROR(INDEX('4'!$F$4:$F$103,MATCH($A97,'4'!$C$4:$C$103,0)),""),IFERROR(INDEX('5'!$F$4:$F$103,MATCH($A97,'5'!$C$4:$C$103,0)),""))))))</f>
        <v/>
      </c>
      <c r="C97" s="13" t="str">
        <f>IF($A97="","",IF(IFERROR(INDEX(Barneveld!$D$4:$D$36,MATCH($A97,Barneveld!$C$4:$C$36,0)),"")&lt;&gt;"",IFERROR(INDEX(Barneveld!$D$4:$D$36,MATCH($A97,Barneveld!$C$4:$C$36,0)),""),IF(IFERROR(INDEX(Baarn!$E$4:$E$38,MATCH($A97,Baarn!$C$4:$C$38,0)),"")&lt;&gt;"",IFERROR(INDEX(Baarn!$E$4:$E$38,MATCH($A97,Baarn!$C$4:$C$38,0)),""),IF(IFERROR(INDEX(Scherpenzeel!$E$4:$E$103,MATCH($A97,Scherpenzeel!$C$4:$C$103,0)),"")&lt;&gt;"",IFERROR(INDEX(Scherpenzeel!$E$4:$E$103,MATCH($A97,Scherpenzeel!$C$4:$C$103,0)),""),IF(IFERROR(INDEX('4'!$E$4:$E$103,MATCH($A97,'4'!$C$4:$C$103,0)),"")&lt;&gt;"",IFERROR(INDEX('4'!$E$4:$E$103,MATCH($A97,'4'!$C$4:$C$103,0)),""),IFERROR(INDEX('5'!$E$4:$E$103,MATCH($A97,'5'!$C$4:$C$103,0)),""))))))</f>
        <v/>
      </c>
      <c r="D97" s="24" t="str">
        <f>IF($A97="","",IFERROR(INDEX(Barneveld!$A$4:$A$36,MATCH($A97,Barneveld!$C$4:$C$36,0)),""))</f>
        <v/>
      </c>
      <c r="E97" s="15">
        <f>IF($A97="",0,IFERROR(INDEX(Barneveld!$H$4:$H$36,MATCH($A97,Barneveld!$C$4:$C$36,0)),0))</f>
        <v>0</v>
      </c>
      <c r="F97" s="24" t="str">
        <f>IF($A97="","",IFERROR(INDEX(Baarn!$A$4:$A$38,MATCH($A97,Baarn!$C$4:$C$38,0)),""))</f>
        <v/>
      </c>
      <c r="G97" s="15">
        <f>IF($A97="",0,IFERROR(INDEX(Baarn!$I$4:$I$38,MATCH($A97,Baarn!$C$4:$C$38,0)),0))</f>
        <v>0</v>
      </c>
      <c r="H97" s="24" t="str">
        <f>IF($A97="","",IFERROR(INDEX(Scherpenzeel!$A$4:$A$103,MATCH($A97,Scherpenzeel!$C$4:$C$103,0)),""))</f>
        <v/>
      </c>
      <c r="I97" s="15">
        <f>IF($A97="",0,IFERROR(INDEX(Scherpenzeel!$I$4:$I$103,MATCH($A97,Scherpenzeel!$C$4:$C$103,0)),0))</f>
        <v>0</v>
      </c>
      <c r="J97" s="24" t="str">
        <f>IF($A97="","",IFERROR(INDEX('4'!$A$4:$A$103,MATCH($A97,'4'!$C$4:$C$103,0)),""))</f>
        <v/>
      </c>
      <c r="K97" s="15">
        <f>IF($A97="",0,IFERROR(INDEX('4'!$I$4:$I$103,MATCH($A97,'4'!$C$4:$C$103,0)),0))</f>
        <v>0</v>
      </c>
      <c r="L97" s="24" t="str">
        <f>IF($A97="","",IFERROR(INDEX('5'!$A$4:$A$103,MATCH($A97,'5'!$C$4:$C$103,0)),""))</f>
        <v/>
      </c>
      <c r="M97" s="15">
        <f>IF($A97="",0,IFERROR(INDEX('5'!$I$4:$I$103,MATCH($A97,'5'!$C$4:$C$103,0)),0))</f>
        <v>0</v>
      </c>
      <c r="N97" s="25" t="str">
        <f t="shared" si="4"/>
        <v/>
      </c>
      <c r="O97" s="26" t="str">
        <f t="shared" si="5"/>
        <v/>
      </c>
      <c r="AA97" t="str">
        <f>IF(ISNUMBER(SEARCH("Junior",Scherpenzeel!E32)),Scherpenzeel!C32,"")</f>
        <v>Deon Bergwerff</v>
      </c>
      <c r="AB97">
        <f>IF(AA97="",0,IF(COUNTIF($AA$1:AA97,AA97)=1,1,0))</f>
        <v>0</v>
      </c>
      <c r="AC97" t="str">
        <f>IF(AB97=1,COUNTIF($AB$1:AB97,1),"")</f>
        <v/>
      </c>
    </row>
    <row r="98" spans="1:29" x14ac:dyDescent="0.25">
      <c r="A98" s="13" t="str">
        <f>IFERROR(INDEX($AA$1:$AA$368,MATCH(95,$AC$1:$AC$368,0)),"")</f>
        <v/>
      </c>
      <c r="B98" s="13" t="str">
        <f>IF($A98="","",IF(IFERROR(INDEX(Barneveld!$E$4:$E$36,MATCH($A98,Barneveld!$C$4:$C$36,0)),"")&lt;&gt;"",IFERROR(INDEX(Barneveld!$E$4:$E$36,MATCH($A98,Barneveld!$C$4:$C$36,0)),""),IF(IFERROR(INDEX(Baarn!$F$4:$F$38,MATCH($A98,Baarn!$C$4:$C$38,0)),"")&lt;&gt;"",IFERROR(INDEX(Baarn!$F$4:$F$38,MATCH($A98,Baarn!$C$4:$C$38,0)),""),IF(IFERROR(INDEX(Scherpenzeel!$F$4:$F$103,MATCH($A98,Scherpenzeel!$C$4:$C$103,0)),"")&lt;&gt;"",IFERROR(INDEX(Scherpenzeel!$F$4:$F$103,MATCH($A98,Scherpenzeel!$C$4:$C$103,0)),""),IF(IFERROR(INDEX('4'!$F$4:$F$103,MATCH($A98,'4'!$C$4:$C$103,0)),"")&lt;&gt;"",IFERROR(INDEX('4'!$F$4:$F$103,MATCH($A98,'4'!$C$4:$C$103,0)),""),IFERROR(INDEX('5'!$F$4:$F$103,MATCH($A98,'5'!$C$4:$C$103,0)),""))))))</f>
        <v/>
      </c>
      <c r="C98" s="13" t="str">
        <f>IF($A98="","",IF(IFERROR(INDEX(Barneveld!$D$4:$D$36,MATCH($A98,Barneveld!$C$4:$C$36,0)),"")&lt;&gt;"",IFERROR(INDEX(Barneveld!$D$4:$D$36,MATCH($A98,Barneveld!$C$4:$C$36,0)),""),IF(IFERROR(INDEX(Baarn!$E$4:$E$38,MATCH($A98,Baarn!$C$4:$C$38,0)),"")&lt;&gt;"",IFERROR(INDEX(Baarn!$E$4:$E$38,MATCH($A98,Baarn!$C$4:$C$38,0)),""),IF(IFERROR(INDEX(Scherpenzeel!$E$4:$E$103,MATCH($A98,Scherpenzeel!$C$4:$C$103,0)),"")&lt;&gt;"",IFERROR(INDEX(Scherpenzeel!$E$4:$E$103,MATCH($A98,Scherpenzeel!$C$4:$C$103,0)),""),IF(IFERROR(INDEX('4'!$E$4:$E$103,MATCH($A98,'4'!$C$4:$C$103,0)),"")&lt;&gt;"",IFERROR(INDEX('4'!$E$4:$E$103,MATCH($A98,'4'!$C$4:$C$103,0)),""),IFERROR(INDEX('5'!$E$4:$E$103,MATCH($A98,'5'!$C$4:$C$103,0)),""))))))</f>
        <v/>
      </c>
      <c r="D98" s="24" t="str">
        <f>IF($A98="","",IFERROR(INDEX(Barneveld!$A$4:$A$36,MATCH($A98,Barneveld!$C$4:$C$36,0)),""))</f>
        <v/>
      </c>
      <c r="E98" s="15">
        <f>IF($A98="",0,IFERROR(INDEX(Barneveld!$H$4:$H$36,MATCH($A98,Barneveld!$C$4:$C$36,0)),0))</f>
        <v>0</v>
      </c>
      <c r="F98" s="24" t="str">
        <f>IF($A98="","",IFERROR(INDEX(Baarn!$A$4:$A$38,MATCH($A98,Baarn!$C$4:$C$38,0)),""))</f>
        <v/>
      </c>
      <c r="G98" s="15">
        <f>IF($A98="",0,IFERROR(INDEX(Baarn!$I$4:$I$38,MATCH($A98,Baarn!$C$4:$C$38,0)),0))</f>
        <v>0</v>
      </c>
      <c r="H98" s="24" t="str">
        <f>IF($A98="","",IFERROR(INDEX(Scherpenzeel!$A$4:$A$103,MATCH($A98,Scherpenzeel!$C$4:$C$103,0)),""))</f>
        <v/>
      </c>
      <c r="I98" s="15">
        <f>IF($A98="",0,IFERROR(INDEX(Scherpenzeel!$I$4:$I$103,MATCH($A98,Scherpenzeel!$C$4:$C$103,0)),0))</f>
        <v>0</v>
      </c>
      <c r="J98" s="24" t="str">
        <f>IF($A98="","",IFERROR(INDEX('4'!$A$4:$A$103,MATCH($A98,'4'!$C$4:$C$103,0)),""))</f>
        <v/>
      </c>
      <c r="K98" s="15">
        <f>IF($A98="",0,IFERROR(INDEX('4'!$I$4:$I$103,MATCH($A98,'4'!$C$4:$C$103,0)),0))</f>
        <v>0</v>
      </c>
      <c r="L98" s="24" t="str">
        <f>IF($A98="","",IFERROR(INDEX('5'!$A$4:$A$103,MATCH($A98,'5'!$C$4:$C$103,0)),""))</f>
        <v/>
      </c>
      <c r="M98" s="15">
        <f>IF($A98="",0,IFERROR(INDEX('5'!$I$4:$I$103,MATCH($A98,'5'!$C$4:$C$103,0)),0))</f>
        <v>0</v>
      </c>
      <c r="N98" s="25" t="str">
        <f t="shared" si="4"/>
        <v/>
      </c>
      <c r="O98" s="26" t="str">
        <f t="shared" si="5"/>
        <v/>
      </c>
      <c r="AA98" t="str">
        <f>IF(ISNUMBER(SEARCH("Junior",Scherpenzeel!E33)),Scherpenzeel!C33,"")</f>
        <v/>
      </c>
      <c r="AB98">
        <f>IF(AA98="",0,IF(COUNTIF($AA$1:AA98,AA98)=1,1,0))</f>
        <v>0</v>
      </c>
      <c r="AC98" t="str">
        <f>IF(AB98=1,COUNTIF($AB$1:AB98,1),"")</f>
        <v/>
      </c>
    </row>
    <row r="99" spans="1:29" x14ac:dyDescent="0.25">
      <c r="A99" s="13" t="str">
        <f>IFERROR(INDEX($AA$1:$AA$368,MATCH(96,$AC$1:$AC$368,0)),"")</f>
        <v/>
      </c>
      <c r="B99" s="13" t="str">
        <f>IF($A99="","",IF(IFERROR(INDEX(Barneveld!$E$4:$E$36,MATCH($A99,Barneveld!$C$4:$C$36,0)),"")&lt;&gt;"",IFERROR(INDEX(Barneveld!$E$4:$E$36,MATCH($A99,Barneveld!$C$4:$C$36,0)),""),IF(IFERROR(INDEX(Baarn!$F$4:$F$38,MATCH($A99,Baarn!$C$4:$C$38,0)),"")&lt;&gt;"",IFERROR(INDEX(Baarn!$F$4:$F$38,MATCH($A99,Baarn!$C$4:$C$38,0)),""),IF(IFERROR(INDEX(Scherpenzeel!$F$4:$F$103,MATCH($A99,Scherpenzeel!$C$4:$C$103,0)),"")&lt;&gt;"",IFERROR(INDEX(Scherpenzeel!$F$4:$F$103,MATCH($A99,Scherpenzeel!$C$4:$C$103,0)),""),IF(IFERROR(INDEX('4'!$F$4:$F$103,MATCH($A99,'4'!$C$4:$C$103,0)),"")&lt;&gt;"",IFERROR(INDEX('4'!$F$4:$F$103,MATCH($A99,'4'!$C$4:$C$103,0)),""),IFERROR(INDEX('5'!$F$4:$F$103,MATCH($A99,'5'!$C$4:$C$103,0)),""))))))</f>
        <v/>
      </c>
      <c r="C99" s="13" t="str">
        <f>IF($A99="","",IF(IFERROR(INDEX(Barneveld!$D$4:$D$36,MATCH($A99,Barneveld!$C$4:$C$36,0)),"")&lt;&gt;"",IFERROR(INDEX(Barneveld!$D$4:$D$36,MATCH($A99,Barneveld!$C$4:$C$36,0)),""),IF(IFERROR(INDEX(Baarn!$E$4:$E$38,MATCH($A99,Baarn!$C$4:$C$38,0)),"")&lt;&gt;"",IFERROR(INDEX(Baarn!$E$4:$E$38,MATCH($A99,Baarn!$C$4:$C$38,0)),""),IF(IFERROR(INDEX(Scherpenzeel!$E$4:$E$103,MATCH($A99,Scherpenzeel!$C$4:$C$103,0)),"")&lt;&gt;"",IFERROR(INDEX(Scherpenzeel!$E$4:$E$103,MATCH($A99,Scherpenzeel!$C$4:$C$103,0)),""),IF(IFERROR(INDEX('4'!$E$4:$E$103,MATCH($A99,'4'!$C$4:$C$103,0)),"")&lt;&gt;"",IFERROR(INDEX('4'!$E$4:$E$103,MATCH($A99,'4'!$C$4:$C$103,0)),""),IFERROR(INDEX('5'!$E$4:$E$103,MATCH($A99,'5'!$C$4:$C$103,0)),""))))))</f>
        <v/>
      </c>
      <c r="D99" s="24" t="str">
        <f>IF($A99="","",IFERROR(INDEX(Barneveld!$A$4:$A$36,MATCH($A99,Barneveld!$C$4:$C$36,0)),""))</f>
        <v/>
      </c>
      <c r="E99" s="15">
        <f>IF($A99="",0,IFERROR(INDEX(Barneveld!$H$4:$H$36,MATCH($A99,Barneveld!$C$4:$C$36,0)),0))</f>
        <v>0</v>
      </c>
      <c r="F99" s="24" t="str">
        <f>IF($A99="","",IFERROR(INDEX(Baarn!$A$4:$A$38,MATCH($A99,Baarn!$C$4:$C$38,0)),""))</f>
        <v/>
      </c>
      <c r="G99" s="15">
        <f>IF($A99="",0,IFERROR(INDEX(Baarn!$I$4:$I$38,MATCH($A99,Baarn!$C$4:$C$38,0)),0))</f>
        <v>0</v>
      </c>
      <c r="H99" s="24" t="str">
        <f>IF($A99="","",IFERROR(INDEX(Scherpenzeel!$A$4:$A$103,MATCH($A99,Scherpenzeel!$C$4:$C$103,0)),""))</f>
        <v/>
      </c>
      <c r="I99" s="15">
        <f>IF($A99="",0,IFERROR(INDEX(Scherpenzeel!$I$4:$I$103,MATCH($A99,Scherpenzeel!$C$4:$C$103,0)),0))</f>
        <v>0</v>
      </c>
      <c r="J99" s="24" t="str">
        <f>IF($A99="","",IFERROR(INDEX('4'!$A$4:$A$103,MATCH($A99,'4'!$C$4:$C$103,0)),""))</f>
        <v/>
      </c>
      <c r="K99" s="15">
        <f>IF($A99="",0,IFERROR(INDEX('4'!$I$4:$I$103,MATCH($A99,'4'!$C$4:$C$103,0)),0))</f>
        <v>0</v>
      </c>
      <c r="L99" s="24" t="str">
        <f>IF($A99="","",IFERROR(INDEX('5'!$A$4:$A$103,MATCH($A99,'5'!$C$4:$C$103,0)),""))</f>
        <v/>
      </c>
      <c r="M99" s="15">
        <f>IF($A99="",0,IFERROR(INDEX('5'!$I$4:$I$103,MATCH($A99,'5'!$C$4:$C$103,0)),0))</f>
        <v>0</v>
      </c>
      <c r="N99" s="25" t="str">
        <f t="shared" si="4"/>
        <v/>
      </c>
      <c r="O99" s="26" t="str">
        <f t="shared" si="5"/>
        <v/>
      </c>
      <c r="AA99" t="str">
        <f>IF(ISNUMBER(SEARCH("Junior",Scherpenzeel!E34)),Scherpenzeel!C34,"")</f>
        <v>Camiel Beuker</v>
      </c>
      <c r="AB99">
        <f>IF(AA99="",0,IF(COUNTIF($AA$1:AA99,AA99)=1,1,0))</f>
        <v>1</v>
      </c>
      <c r="AC99">
        <f>IF(AB99=1,COUNTIF($AB$1:AB99,1),"")</f>
        <v>20</v>
      </c>
    </row>
    <row r="100" spans="1:29" x14ac:dyDescent="0.25">
      <c r="A100" s="13" t="str">
        <f>IFERROR(INDEX($AA$1:$AA$368,MATCH(97,$AC$1:$AC$368,0)),"")</f>
        <v/>
      </c>
      <c r="B100" s="13" t="str">
        <f>IF($A100="","",IF(IFERROR(INDEX(Barneveld!$E$4:$E$36,MATCH($A100,Barneveld!$C$4:$C$36,0)),"")&lt;&gt;"",IFERROR(INDEX(Barneveld!$E$4:$E$36,MATCH($A100,Barneveld!$C$4:$C$36,0)),""),IF(IFERROR(INDEX(Baarn!$F$4:$F$38,MATCH($A100,Baarn!$C$4:$C$38,0)),"")&lt;&gt;"",IFERROR(INDEX(Baarn!$F$4:$F$38,MATCH($A100,Baarn!$C$4:$C$38,0)),""),IF(IFERROR(INDEX(Scherpenzeel!$F$4:$F$103,MATCH($A100,Scherpenzeel!$C$4:$C$103,0)),"")&lt;&gt;"",IFERROR(INDEX(Scherpenzeel!$F$4:$F$103,MATCH($A100,Scherpenzeel!$C$4:$C$103,0)),""),IF(IFERROR(INDEX('4'!$F$4:$F$103,MATCH($A100,'4'!$C$4:$C$103,0)),"")&lt;&gt;"",IFERROR(INDEX('4'!$F$4:$F$103,MATCH($A100,'4'!$C$4:$C$103,0)),""),IFERROR(INDEX('5'!$F$4:$F$103,MATCH($A100,'5'!$C$4:$C$103,0)),""))))))</f>
        <v/>
      </c>
      <c r="C100" s="13" t="str">
        <f>IF($A100="","",IF(IFERROR(INDEX(Barneveld!$D$4:$D$36,MATCH($A100,Barneveld!$C$4:$C$36,0)),"")&lt;&gt;"",IFERROR(INDEX(Barneveld!$D$4:$D$36,MATCH($A100,Barneveld!$C$4:$C$36,0)),""),IF(IFERROR(INDEX(Baarn!$E$4:$E$38,MATCH($A100,Baarn!$C$4:$C$38,0)),"")&lt;&gt;"",IFERROR(INDEX(Baarn!$E$4:$E$38,MATCH($A100,Baarn!$C$4:$C$38,0)),""),IF(IFERROR(INDEX(Scherpenzeel!$E$4:$E$103,MATCH($A100,Scherpenzeel!$C$4:$C$103,0)),"")&lt;&gt;"",IFERROR(INDEX(Scherpenzeel!$E$4:$E$103,MATCH($A100,Scherpenzeel!$C$4:$C$103,0)),""),IF(IFERROR(INDEX('4'!$E$4:$E$103,MATCH($A100,'4'!$C$4:$C$103,0)),"")&lt;&gt;"",IFERROR(INDEX('4'!$E$4:$E$103,MATCH($A100,'4'!$C$4:$C$103,0)),""),IFERROR(INDEX('5'!$E$4:$E$103,MATCH($A100,'5'!$C$4:$C$103,0)),""))))))</f>
        <v/>
      </c>
      <c r="D100" s="24" t="str">
        <f>IF($A100="","",IFERROR(INDEX(Barneveld!$A$4:$A$36,MATCH($A100,Barneveld!$C$4:$C$36,0)),""))</f>
        <v/>
      </c>
      <c r="E100" s="15">
        <f>IF($A100="",0,IFERROR(INDEX(Barneveld!$H$4:$H$36,MATCH($A100,Barneveld!$C$4:$C$36,0)),0))</f>
        <v>0</v>
      </c>
      <c r="F100" s="24" t="str">
        <f>IF($A100="","",IFERROR(INDEX(Baarn!$A$4:$A$38,MATCH($A100,Baarn!$C$4:$C$38,0)),""))</f>
        <v/>
      </c>
      <c r="G100" s="15">
        <f>IF($A100="",0,IFERROR(INDEX(Baarn!$I$4:$I$38,MATCH($A100,Baarn!$C$4:$C$38,0)),0))</f>
        <v>0</v>
      </c>
      <c r="H100" s="24" t="str">
        <f>IF($A100="","",IFERROR(INDEX(Scherpenzeel!$A$4:$A$103,MATCH($A100,Scherpenzeel!$C$4:$C$103,0)),""))</f>
        <v/>
      </c>
      <c r="I100" s="15">
        <f>IF($A100="",0,IFERROR(INDEX(Scherpenzeel!$I$4:$I$103,MATCH($A100,Scherpenzeel!$C$4:$C$103,0)),0))</f>
        <v>0</v>
      </c>
      <c r="J100" s="24" t="str">
        <f>IF($A100="","",IFERROR(INDEX('4'!$A$4:$A$103,MATCH($A100,'4'!$C$4:$C$103,0)),""))</f>
        <v/>
      </c>
      <c r="K100" s="15">
        <f>IF($A100="",0,IFERROR(INDEX('4'!$I$4:$I$103,MATCH($A100,'4'!$C$4:$C$103,0)),0))</f>
        <v>0</v>
      </c>
      <c r="L100" s="24" t="str">
        <f>IF($A100="","",IFERROR(INDEX('5'!$A$4:$A$103,MATCH($A100,'5'!$C$4:$C$103,0)),""))</f>
        <v/>
      </c>
      <c r="M100" s="15">
        <f>IF($A100="",0,IFERROR(INDEX('5'!$I$4:$I$103,MATCH($A100,'5'!$C$4:$C$103,0)),0))</f>
        <v>0</v>
      </c>
      <c r="N100" s="25" t="str">
        <f t="shared" ref="N100:N131" si="6">IF($A100="","",E100+G100+I100+K100+M100)</f>
        <v/>
      </c>
      <c r="O100" s="26" t="str">
        <f t="shared" ref="O100:O131" si="7">IF(OR($A100="",N100="",N100=0),"",RANK(N100,$N$4:$N$203,0))</f>
        <v/>
      </c>
      <c r="AA100" t="str">
        <f>IF(ISNUMBER(SEARCH("Junior",Scherpenzeel!E35)),Scherpenzeel!C35,"")</f>
        <v>Freek Valkonet</v>
      </c>
      <c r="AB100">
        <f>IF(AA100="",0,IF(COUNTIF($AA$1:AA100,AA100)=1,1,0))</f>
        <v>0</v>
      </c>
      <c r="AC100" t="str">
        <f>IF(AB100=1,COUNTIF($AB$1:AB100,1),"")</f>
        <v/>
      </c>
    </row>
    <row r="101" spans="1:29" x14ac:dyDescent="0.25">
      <c r="A101" s="13" t="str">
        <f>IFERROR(INDEX($AA$1:$AA$368,MATCH(98,$AC$1:$AC$368,0)),"")</f>
        <v/>
      </c>
      <c r="B101" s="13" t="str">
        <f>IF($A101="","",IF(IFERROR(INDEX(Barneveld!$E$4:$E$36,MATCH($A101,Barneveld!$C$4:$C$36,0)),"")&lt;&gt;"",IFERROR(INDEX(Barneveld!$E$4:$E$36,MATCH($A101,Barneveld!$C$4:$C$36,0)),""),IF(IFERROR(INDEX(Baarn!$F$4:$F$38,MATCH($A101,Baarn!$C$4:$C$38,0)),"")&lt;&gt;"",IFERROR(INDEX(Baarn!$F$4:$F$38,MATCH($A101,Baarn!$C$4:$C$38,0)),""),IF(IFERROR(INDEX(Scherpenzeel!$F$4:$F$103,MATCH($A101,Scherpenzeel!$C$4:$C$103,0)),"")&lt;&gt;"",IFERROR(INDEX(Scherpenzeel!$F$4:$F$103,MATCH($A101,Scherpenzeel!$C$4:$C$103,0)),""),IF(IFERROR(INDEX('4'!$F$4:$F$103,MATCH($A101,'4'!$C$4:$C$103,0)),"")&lt;&gt;"",IFERROR(INDEX('4'!$F$4:$F$103,MATCH($A101,'4'!$C$4:$C$103,0)),""),IFERROR(INDEX('5'!$F$4:$F$103,MATCH($A101,'5'!$C$4:$C$103,0)),""))))))</f>
        <v/>
      </c>
      <c r="C101" s="13" t="str">
        <f>IF($A101="","",IF(IFERROR(INDEX(Barneveld!$D$4:$D$36,MATCH($A101,Barneveld!$C$4:$C$36,0)),"")&lt;&gt;"",IFERROR(INDEX(Barneveld!$D$4:$D$36,MATCH($A101,Barneveld!$C$4:$C$36,0)),""),IF(IFERROR(INDEX(Baarn!$E$4:$E$38,MATCH($A101,Baarn!$C$4:$C$38,0)),"")&lt;&gt;"",IFERROR(INDEX(Baarn!$E$4:$E$38,MATCH($A101,Baarn!$C$4:$C$38,0)),""),IF(IFERROR(INDEX(Scherpenzeel!$E$4:$E$103,MATCH($A101,Scherpenzeel!$C$4:$C$103,0)),"")&lt;&gt;"",IFERROR(INDEX(Scherpenzeel!$E$4:$E$103,MATCH($A101,Scherpenzeel!$C$4:$C$103,0)),""),IF(IFERROR(INDEX('4'!$E$4:$E$103,MATCH($A101,'4'!$C$4:$C$103,0)),"")&lt;&gt;"",IFERROR(INDEX('4'!$E$4:$E$103,MATCH($A101,'4'!$C$4:$C$103,0)),""),IFERROR(INDEX('5'!$E$4:$E$103,MATCH($A101,'5'!$C$4:$C$103,0)),""))))))</f>
        <v/>
      </c>
      <c r="D101" s="24" t="str">
        <f>IF($A101="","",IFERROR(INDEX(Barneveld!$A$4:$A$36,MATCH($A101,Barneveld!$C$4:$C$36,0)),""))</f>
        <v/>
      </c>
      <c r="E101" s="15">
        <f>IF($A101="",0,IFERROR(INDEX(Barneveld!$H$4:$H$36,MATCH($A101,Barneveld!$C$4:$C$36,0)),0))</f>
        <v>0</v>
      </c>
      <c r="F101" s="24" t="str">
        <f>IF($A101="","",IFERROR(INDEX(Baarn!$A$4:$A$38,MATCH($A101,Baarn!$C$4:$C$38,0)),""))</f>
        <v/>
      </c>
      <c r="G101" s="15">
        <f>IF($A101="",0,IFERROR(INDEX(Baarn!$I$4:$I$38,MATCH($A101,Baarn!$C$4:$C$38,0)),0))</f>
        <v>0</v>
      </c>
      <c r="H101" s="24" t="str">
        <f>IF($A101="","",IFERROR(INDEX(Scherpenzeel!$A$4:$A$103,MATCH($A101,Scherpenzeel!$C$4:$C$103,0)),""))</f>
        <v/>
      </c>
      <c r="I101" s="15">
        <f>IF($A101="",0,IFERROR(INDEX(Scherpenzeel!$I$4:$I$103,MATCH($A101,Scherpenzeel!$C$4:$C$103,0)),0))</f>
        <v>0</v>
      </c>
      <c r="J101" s="24" t="str">
        <f>IF($A101="","",IFERROR(INDEX('4'!$A$4:$A$103,MATCH($A101,'4'!$C$4:$C$103,0)),""))</f>
        <v/>
      </c>
      <c r="K101" s="15">
        <f>IF($A101="",0,IFERROR(INDEX('4'!$I$4:$I$103,MATCH($A101,'4'!$C$4:$C$103,0)),0))</f>
        <v>0</v>
      </c>
      <c r="L101" s="24" t="str">
        <f>IF($A101="","",IFERROR(INDEX('5'!$A$4:$A$103,MATCH($A101,'5'!$C$4:$C$103,0)),""))</f>
        <v/>
      </c>
      <c r="M101" s="15">
        <f>IF($A101="",0,IFERROR(INDEX('5'!$I$4:$I$103,MATCH($A101,'5'!$C$4:$C$103,0)),0))</f>
        <v>0</v>
      </c>
      <c r="N101" s="25" t="str">
        <f t="shared" si="6"/>
        <v/>
      </c>
      <c r="O101" s="26" t="str">
        <f t="shared" si="7"/>
        <v/>
      </c>
      <c r="AA101" t="str">
        <f>IF(ISNUMBER(SEARCH("Junior",Scherpenzeel!E36)),Scherpenzeel!C36,"")</f>
        <v>Rick Schuurman</v>
      </c>
      <c r="AB101">
        <f>IF(AA101="",0,IF(COUNTIF($AA$1:AA101,AA101)=1,1,0))</f>
        <v>1</v>
      </c>
      <c r="AC101">
        <f>IF(AB101=1,COUNTIF($AB$1:AB101,1),"")</f>
        <v>21</v>
      </c>
    </row>
    <row r="102" spans="1:29" x14ac:dyDescent="0.25">
      <c r="A102" s="13" t="str">
        <f>IFERROR(INDEX($AA$1:$AA$368,MATCH(99,$AC$1:$AC$368,0)),"")</f>
        <v/>
      </c>
      <c r="B102" s="13" t="str">
        <f>IF($A102="","",IF(IFERROR(INDEX(Barneveld!$E$4:$E$36,MATCH($A102,Barneveld!$C$4:$C$36,0)),"")&lt;&gt;"",IFERROR(INDEX(Barneveld!$E$4:$E$36,MATCH($A102,Barneveld!$C$4:$C$36,0)),""),IF(IFERROR(INDEX(Baarn!$F$4:$F$38,MATCH($A102,Baarn!$C$4:$C$38,0)),"")&lt;&gt;"",IFERROR(INDEX(Baarn!$F$4:$F$38,MATCH($A102,Baarn!$C$4:$C$38,0)),""),IF(IFERROR(INDEX(Scherpenzeel!$F$4:$F$103,MATCH($A102,Scherpenzeel!$C$4:$C$103,0)),"")&lt;&gt;"",IFERROR(INDEX(Scherpenzeel!$F$4:$F$103,MATCH($A102,Scherpenzeel!$C$4:$C$103,0)),""),IF(IFERROR(INDEX('4'!$F$4:$F$103,MATCH($A102,'4'!$C$4:$C$103,0)),"")&lt;&gt;"",IFERROR(INDEX('4'!$F$4:$F$103,MATCH($A102,'4'!$C$4:$C$103,0)),""),IFERROR(INDEX('5'!$F$4:$F$103,MATCH($A102,'5'!$C$4:$C$103,0)),""))))))</f>
        <v/>
      </c>
      <c r="C102" s="13" t="str">
        <f>IF($A102="","",IF(IFERROR(INDEX(Barneveld!$D$4:$D$36,MATCH($A102,Barneveld!$C$4:$C$36,0)),"")&lt;&gt;"",IFERROR(INDEX(Barneveld!$D$4:$D$36,MATCH($A102,Barneveld!$C$4:$C$36,0)),""),IF(IFERROR(INDEX(Baarn!$E$4:$E$38,MATCH($A102,Baarn!$C$4:$C$38,0)),"")&lt;&gt;"",IFERROR(INDEX(Baarn!$E$4:$E$38,MATCH($A102,Baarn!$C$4:$C$38,0)),""),IF(IFERROR(INDEX(Scherpenzeel!$E$4:$E$103,MATCH($A102,Scherpenzeel!$C$4:$C$103,0)),"")&lt;&gt;"",IFERROR(INDEX(Scherpenzeel!$E$4:$E$103,MATCH($A102,Scherpenzeel!$C$4:$C$103,0)),""),IF(IFERROR(INDEX('4'!$E$4:$E$103,MATCH($A102,'4'!$C$4:$C$103,0)),"")&lt;&gt;"",IFERROR(INDEX('4'!$E$4:$E$103,MATCH($A102,'4'!$C$4:$C$103,0)),""),IFERROR(INDEX('5'!$E$4:$E$103,MATCH($A102,'5'!$C$4:$C$103,0)),""))))))</f>
        <v/>
      </c>
      <c r="D102" s="24" t="str">
        <f>IF($A102="","",IFERROR(INDEX(Barneveld!$A$4:$A$36,MATCH($A102,Barneveld!$C$4:$C$36,0)),""))</f>
        <v/>
      </c>
      <c r="E102" s="15">
        <f>IF($A102="",0,IFERROR(INDEX(Barneveld!$H$4:$H$36,MATCH($A102,Barneveld!$C$4:$C$36,0)),0))</f>
        <v>0</v>
      </c>
      <c r="F102" s="24" t="str">
        <f>IF($A102="","",IFERROR(INDEX(Baarn!$A$4:$A$38,MATCH($A102,Baarn!$C$4:$C$38,0)),""))</f>
        <v/>
      </c>
      <c r="G102" s="15">
        <f>IF($A102="",0,IFERROR(INDEX(Baarn!$I$4:$I$38,MATCH($A102,Baarn!$C$4:$C$38,0)),0))</f>
        <v>0</v>
      </c>
      <c r="H102" s="24" t="str">
        <f>IF($A102="","",IFERROR(INDEX(Scherpenzeel!$A$4:$A$103,MATCH($A102,Scherpenzeel!$C$4:$C$103,0)),""))</f>
        <v/>
      </c>
      <c r="I102" s="15">
        <f>IF($A102="",0,IFERROR(INDEX(Scherpenzeel!$I$4:$I$103,MATCH($A102,Scherpenzeel!$C$4:$C$103,0)),0))</f>
        <v>0</v>
      </c>
      <c r="J102" s="24" t="str">
        <f>IF($A102="","",IFERROR(INDEX('4'!$A$4:$A$103,MATCH($A102,'4'!$C$4:$C$103,0)),""))</f>
        <v/>
      </c>
      <c r="K102" s="15">
        <f>IF($A102="",0,IFERROR(INDEX('4'!$I$4:$I$103,MATCH($A102,'4'!$C$4:$C$103,0)),0))</f>
        <v>0</v>
      </c>
      <c r="L102" s="24" t="str">
        <f>IF($A102="","",IFERROR(INDEX('5'!$A$4:$A$103,MATCH($A102,'5'!$C$4:$C$103,0)),""))</f>
        <v/>
      </c>
      <c r="M102" s="15">
        <f>IF($A102="",0,IFERROR(INDEX('5'!$I$4:$I$103,MATCH($A102,'5'!$C$4:$C$103,0)),0))</f>
        <v>0</v>
      </c>
      <c r="N102" s="25" t="str">
        <f t="shared" si="6"/>
        <v/>
      </c>
      <c r="O102" s="26" t="str">
        <f t="shared" si="7"/>
        <v/>
      </c>
      <c r="AA102" t="str">
        <f>IF(ISNUMBER(SEARCH("Junior",Scherpenzeel!E37)),Scherpenzeel!C37,"")</f>
        <v/>
      </c>
      <c r="AB102">
        <f>IF(AA102="",0,IF(COUNTIF($AA$1:AA102,AA102)=1,1,0))</f>
        <v>0</v>
      </c>
      <c r="AC102" t="str">
        <f>IF(AB102=1,COUNTIF($AB$1:AB102,1),"")</f>
        <v/>
      </c>
    </row>
    <row r="103" spans="1:29" x14ac:dyDescent="0.25">
      <c r="A103" s="13" t="str">
        <f>IFERROR(INDEX($AA$1:$AA$368,MATCH(100,$AC$1:$AC$368,0)),"")</f>
        <v/>
      </c>
      <c r="B103" s="13" t="str">
        <f>IF($A103="","",IF(IFERROR(INDEX(Barneveld!$E$4:$E$36,MATCH($A103,Barneveld!$C$4:$C$36,0)),"")&lt;&gt;"",IFERROR(INDEX(Barneveld!$E$4:$E$36,MATCH($A103,Barneveld!$C$4:$C$36,0)),""),IF(IFERROR(INDEX(Baarn!$F$4:$F$38,MATCH($A103,Baarn!$C$4:$C$38,0)),"")&lt;&gt;"",IFERROR(INDEX(Baarn!$F$4:$F$38,MATCH($A103,Baarn!$C$4:$C$38,0)),""),IF(IFERROR(INDEX(Scherpenzeel!$F$4:$F$103,MATCH($A103,Scherpenzeel!$C$4:$C$103,0)),"")&lt;&gt;"",IFERROR(INDEX(Scherpenzeel!$F$4:$F$103,MATCH($A103,Scherpenzeel!$C$4:$C$103,0)),""),IF(IFERROR(INDEX('4'!$F$4:$F$103,MATCH($A103,'4'!$C$4:$C$103,0)),"")&lt;&gt;"",IFERROR(INDEX('4'!$F$4:$F$103,MATCH($A103,'4'!$C$4:$C$103,0)),""),IFERROR(INDEX('5'!$F$4:$F$103,MATCH($A103,'5'!$C$4:$C$103,0)),""))))))</f>
        <v/>
      </c>
      <c r="C103" s="13" t="str">
        <f>IF($A103="","",IF(IFERROR(INDEX(Barneveld!$D$4:$D$36,MATCH($A103,Barneveld!$C$4:$C$36,0)),"")&lt;&gt;"",IFERROR(INDEX(Barneveld!$D$4:$D$36,MATCH($A103,Barneveld!$C$4:$C$36,0)),""),IF(IFERROR(INDEX(Baarn!$E$4:$E$38,MATCH($A103,Baarn!$C$4:$C$38,0)),"")&lt;&gt;"",IFERROR(INDEX(Baarn!$E$4:$E$38,MATCH($A103,Baarn!$C$4:$C$38,0)),""),IF(IFERROR(INDEX(Scherpenzeel!$E$4:$E$103,MATCH($A103,Scherpenzeel!$C$4:$C$103,0)),"")&lt;&gt;"",IFERROR(INDEX(Scherpenzeel!$E$4:$E$103,MATCH($A103,Scherpenzeel!$C$4:$C$103,0)),""),IF(IFERROR(INDEX('4'!$E$4:$E$103,MATCH($A103,'4'!$C$4:$C$103,0)),"")&lt;&gt;"",IFERROR(INDEX('4'!$E$4:$E$103,MATCH($A103,'4'!$C$4:$C$103,0)),""),IFERROR(INDEX('5'!$E$4:$E$103,MATCH($A103,'5'!$C$4:$C$103,0)),""))))))</f>
        <v/>
      </c>
      <c r="D103" s="24" t="str">
        <f>IF($A103="","",IFERROR(INDEX(Barneveld!$A$4:$A$36,MATCH($A103,Barneveld!$C$4:$C$36,0)),""))</f>
        <v/>
      </c>
      <c r="E103" s="15">
        <f>IF($A103="",0,IFERROR(INDEX(Barneveld!$H$4:$H$36,MATCH($A103,Barneveld!$C$4:$C$36,0)),0))</f>
        <v>0</v>
      </c>
      <c r="F103" s="24" t="str">
        <f>IF($A103="","",IFERROR(INDEX(Baarn!$A$4:$A$38,MATCH($A103,Baarn!$C$4:$C$38,0)),""))</f>
        <v/>
      </c>
      <c r="G103" s="15">
        <f>IF($A103="",0,IFERROR(INDEX(Baarn!$I$4:$I$38,MATCH($A103,Baarn!$C$4:$C$38,0)),0))</f>
        <v>0</v>
      </c>
      <c r="H103" s="24" t="str">
        <f>IF($A103="","",IFERROR(INDEX(Scherpenzeel!$A$4:$A$103,MATCH($A103,Scherpenzeel!$C$4:$C$103,0)),""))</f>
        <v/>
      </c>
      <c r="I103" s="15">
        <f>IF($A103="",0,IFERROR(INDEX(Scherpenzeel!$I$4:$I$103,MATCH($A103,Scherpenzeel!$C$4:$C$103,0)),0))</f>
        <v>0</v>
      </c>
      <c r="J103" s="24" t="str">
        <f>IF($A103="","",IFERROR(INDEX('4'!$A$4:$A$103,MATCH($A103,'4'!$C$4:$C$103,0)),""))</f>
        <v/>
      </c>
      <c r="K103" s="15">
        <f>IF($A103="",0,IFERROR(INDEX('4'!$I$4:$I$103,MATCH($A103,'4'!$C$4:$C$103,0)),0))</f>
        <v>0</v>
      </c>
      <c r="L103" s="24" t="str">
        <f>IF($A103="","",IFERROR(INDEX('5'!$A$4:$A$103,MATCH($A103,'5'!$C$4:$C$103,0)),""))</f>
        <v/>
      </c>
      <c r="M103" s="15">
        <f>IF($A103="",0,IFERROR(INDEX('5'!$I$4:$I$103,MATCH($A103,'5'!$C$4:$C$103,0)),0))</f>
        <v>0</v>
      </c>
      <c r="N103" s="25" t="str">
        <f t="shared" si="6"/>
        <v/>
      </c>
      <c r="O103" s="26" t="str">
        <f t="shared" si="7"/>
        <v/>
      </c>
      <c r="AA103" t="str">
        <f>IF(ISNUMBER(SEARCH("Junior",Scherpenzeel!E38)),Scherpenzeel!C38,"")</f>
        <v/>
      </c>
      <c r="AB103">
        <f>IF(AA103="",0,IF(COUNTIF($AA$1:AA103,AA103)=1,1,0))</f>
        <v>0</v>
      </c>
      <c r="AC103" t="str">
        <f>IF(AB103=1,COUNTIF($AB$1:AB103,1),"")</f>
        <v/>
      </c>
    </row>
    <row r="104" spans="1:29" x14ac:dyDescent="0.25">
      <c r="A104" s="13" t="str">
        <f>IFERROR(INDEX($AA$1:$AA$368,MATCH(101,$AC$1:$AC$368,0)),"")</f>
        <v/>
      </c>
      <c r="B104" s="13" t="str">
        <f>IF($A104="","",IF(IFERROR(INDEX(Barneveld!$E$4:$E$36,MATCH($A104,Barneveld!$C$4:$C$36,0)),"")&lt;&gt;"",IFERROR(INDEX(Barneveld!$E$4:$E$36,MATCH($A104,Barneveld!$C$4:$C$36,0)),""),IF(IFERROR(INDEX(Baarn!$F$4:$F$38,MATCH($A104,Baarn!$C$4:$C$38,0)),"")&lt;&gt;"",IFERROR(INDEX(Baarn!$F$4:$F$38,MATCH($A104,Baarn!$C$4:$C$38,0)),""),IF(IFERROR(INDEX(Scherpenzeel!$F$4:$F$103,MATCH($A104,Scherpenzeel!$C$4:$C$103,0)),"")&lt;&gt;"",IFERROR(INDEX(Scherpenzeel!$F$4:$F$103,MATCH($A104,Scherpenzeel!$C$4:$C$103,0)),""),IF(IFERROR(INDEX('4'!$F$4:$F$103,MATCH($A104,'4'!$C$4:$C$103,0)),"")&lt;&gt;"",IFERROR(INDEX('4'!$F$4:$F$103,MATCH($A104,'4'!$C$4:$C$103,0)),""),IFERROR(INDEX('5'!$F$4:$F$103,MATCH($A104,'5'!$C$4:$C$103,0)),""))))))</f>
        <v/>
      </c>
      <c r="C104" s="13" t="str">
        <f>IF($A104="","",IF(IFERROR(INDEX(Barneveld!$D$4:$D$36,MATCH($A104,Barneveld!$C$4:$C$36,0)),"")&lt;&gt;"",IFERROR(INDEX(Barneveld!$D$4:$D$36,MATCH($A104,Barneveld!$C$4:$C$36,0)),""),IF(IFERROR(INDEX(Baarn!$E$4:$E$38,MATCH($A104,Baarn!$C$4:$C$38,0)),"")&lt;&gt;"",IFERROR(INDEX(Baarn!$E$4:$E$38,MATCH($A104,Baarn!$C$4:$C$38,0)),""),IF(IFERROR(INDEX(Scherpenzeel!$E$4:$E$103,MATCH($A104,Scherpenzeel!$C$4:$C$103,0)),"")&lt;&gt;"",IFERROR(INDEX(Scherpenzeel!$E$4:$E$103,MATCH($A104,Scherpenzeel!$C$4:$C$103,0)),""),IF(IFERROR(INDEX('4'!$E$4:$E$103,MATCH($A104,'4'!$C$4:$C$103,0)),"")&lt;&gt;"",IFERROR(INDEX('4'!$E$4:$E$103,MATCH($A104,'4'!$C$4:$C$103,0)),""),IFERROR(INDEX('5'!$E$4:$E$103,MATCH($A104,'5'!$C$4:$C$103,0)),""))))))</f>
        <v/>
      </c>
      <c r="D104" s="24" t="str">
        <f>IF($A104="","",IFERROR(INDEX(Barneveld!$A$4:$A$36,MATCH($A104,Barneveld!$C$4:$C$36,0)),""))</f>
        <v/>
      </c>
      <c r="E104" s="15">
        <f>IF($A104="",0,IFERROR(INDEX(Barneveld!$H$4:$H$36,MATCH($A104,Barneveld!$C$4:$C$36,0)),0))</f>
        <v>0</v>
      </c>
      <c r="F104" s="24" t="str">
        <f>IF($A104="","",IFERROR(INDEX(Baarn!$A$4:$A$38,MATCH($A104,Baarn!$C$4:$C$38,0)),""))</f>
        <v/>
      </c>
      <c r="G104" s="15">
        <f>IF($A104="",0,IFERROR(INDEX(Baarn!$I$4:$I$38,MATCH($A104,Baarn!$C$4:$C$38,0)),0))</f>
        <v>0</v>
      </c>
      <c r="H104" s="24" t="str">
        <f>IF($A104="","",IFERROR(INDEX(Scherpenzeel!$A$4:$A$103,MATCH($A104,Scherpenzeel!$C$4:$C$103,0)),""))</f>
        <v/>
      </c>
      <c r="I104" s="15">
        <f>IF($A104="",0,IFERROR(INDEX(Scherpenzeel!$I$4:$I$103,MATCH($A104,Scherpenzeel!$C$4:$C$103,0)),0))</f>
        <v>0</v>
      </c>
      <c r="J104" s="24" t="str">
        <f>IF($A104="","",IFERROR(INDEX('4'!$A$4:$A$103,MATCH($A104,'4'!$C$4:$C$103,0)),""))</f>
        <v/>
      </c>
      <c r="K104" s="15">
        <f>IF($A104="",0,IFERROR(INDEX('4'!$I$4:$I$103,MATCH($A104,'4'!$C$4:$C$103,0)),0))</f>
        <v>0</v>
      </c>
      <c r="L104" s="24" t="str">
        <f>IF($A104="","",IFERROR(INDEX('5'!$A$4:$A$103,MATCH($A104,'5'!$C$4:$C$103,0)),""))</f>
        <v/>
      </c>
      <c r="M104" s="15">
        <f>IF($A104="",0,IFERROR(INDEX('5'!$I$4:$I$103,MATCH($A104,'5'!$C$4:$C$103,0)),0))</f>
        <v>0</v>
      </c>
      <c r="N104" s="25" t="str">
        <f t="shared" si="6"/>
        <v/>
      </c>
      <c r="O104" s="26" t="str">
        <f t="shared" si="7"/>
        <v/>
      </c>
      <c r="AA104" t="str">
        <f>IF(ISNUMBER(SEARCH("Junior",Scherpenzeel!E39)),Scherpenzeel!C39,"")</f>
        <v/>
      </c>
      <c r="AB104">
        <f>IF(AA104="",0,IF(COUNTIF($AA$1:AA104,AA104)=1,1,0))</f>
        <v>0</v>
      </c>
      <c r="AC104" t="str">
        <f>IF(AB104=1,COUNTIF($AB$1:AB104,1),"")</f>
        <v/>
      </c>
    </row>
    <row r="105" spans="1:29" x14ac:dyDescent="0.25">
      <c r="A105" s="13" t="str">
        <f>IFERROR(INDEX($AA$1:$AA$368,MATCH(102,$AC$1:$AC$368,0)),"")</f>
        <v/>
      </c>
      <c r="B105" s="13" t="str">
        <f>IF($A105="","",IF(IFERROR(INDEX(Barneveld!$E$4:$E$36,MATCH($A105,Barneveld!$C$4:$C$36,0)),"")&lt;&gt;"",IFERROR(INDEX(Barneveld!$E$4:$E$36,MATCH($A105,Barneveld!$C$4:$C$36,0)),""),IF(IFERROR(INDEX(Baarn!$F$4:$F$38,MATCH($A105,Baarn!$C$4:$C$38,0)),"")&lt;&gt;"",IFERROR(INDEX(Baarn!$F$4:$F$38,MATCH($A105,Baarn!$C$4:$C$38,0)),""),IF(IFERROR(INDEX(Scherpenzeel!$F$4:$F$103,MATCH($A105,Scherpenzeel!$C$4:$C$103,0)),"")&lt;&gt;"",IFERROR(INDEX(Scherpenzeel!$F$4:$F$103,MATCH($A105,Scherpenzeel!$C$4:$C$103,0)),""),IF(IFERROR(INDEX('4'!$F$4:$F$103,MATCH($A105,'4'!$C$4:$C$103,0)),"")&lt;&gt;"",IFERROR(INDEX('4'!$F$4:$F$103,MATCH($A105,'4'!$C$4:$C$103,0)),""),IFERROR(INDEX('5'!$F$4:$F$103,MATCH($A105,'5'!$C$4:$C$103,0)),""))))))</f>
        <v/>
      </c>
      <c r="C105" s="13" t="str">
        <f>IF($A105="","",IF(IFERROR(INDEX(Barneveld!$D$4:$D$36,MATCH($A105,Barneveld!$C$4:$C$36,0)),"")&lt;&gt;"",IFERROR(INDEX(Barneveld!$D$4:$D$36,MATCH($A105,Barneveld!$C$4:$C$36,0)),""),IF(IFERROR(INDEX(Baarn!$E$4:$E$38,MATCH($A105,Baarn!$C$4:$C$38,0)),"")&lt;&gt;"",IFERROR(INDEX(Baarn!$E$4:$E$38,MATCH($A105,Baarn!$C$4:$C$38,0)),""),IF(IFERROR(INDEX(Scherpenzeel!$E$4:$E$103,MATCH($A105,Scherpenzeel!$C$4:$C$103,0)),"")&lt;&gt;"",IFERROR(INDEX(Scherpenzeel!$E$4:$E$103,MATCH($A105,Scherpenzeel!$C$4:$C$103,0)),""),IF(IFERROR(INDEX('4'!$E$4:$E$103,MATCH($A105,'4'!$C$4:$C$103,0)),"")&lt;&gt;"",IFERROR(INDEX('4'!$E$4:$E$103,MATCH($A105,'4'!$C$4:$C$103,0)),""),IFERROR(INDEX('5'!$E$4:$E$103,MATCH($A105,'5'!$C$4:$C$103,0)),""))))))</f>
        <v/>
      </c>
      <c r="D105" s="24" t="str">
        <f>IF($A105="","",IFERROR(INDEX(Barneveld!$A$4:$A$36,MATCH($A105,Barneveld!$C$4:$C$36,0)),""))</f>
        <v/>
      </c>
      <c r="E105" s="15">
        <f>IF($A105="",0,IFERROR(INDEX(Barneveld!$H$4:$H$36,MATCH($A105,Barneveld!$C$4:$C$36,0)),0))</f>
        <v>0</v>
      </c>
      <c r="F105" s="24" t="str">
        <f>IF($A105="","",IFERROR(INDEX(Baarn!$A$4:$A$38,MATCH($A105,Baarn!$C$4:$C$38,0)),""))</f>
        <v/>
      </c>
      <c r="G105" s="15">
        <f>IF($A105="",0,IFERROR(INDEX(Baarn!$I$4:$I$38,MATCH($A105,Baarn!$C$4:$C$38,0)),0))</f>
        <v>0</v>
      </c>
      <c r="H105" s="24" t="str">
        <f>IF($A105="","",IFERROR(INDEX(Scherpenzeel!$A$4:$A$103,MATCH($A105,Scherpenzeel!$C$4:$C$103,0)),""))</f>
        <v/>
      </c>
      <c r="I105" s="15">
        <f>IF($A105="",0,IFERROR(INDEX(Scherpenzeel!$I$4:$I$103,MATCH($A105,Scherpenzeel!$C$4:$C$103,0)),0))</f>
        <v>0</v>
      </c>
      <c r="J105" s="24" t="str">
        <f>IF($A105="","",IFERROR(INDEX('4'!$A$4:$A$103,MATCH($A105,'4'!$C$4:$C$103,0)),""))</f>
        <v/>
      </c>
      <c r="K105" s="15">
        <f>IF($A105="",0,IFERROR(INDEX('4'!$I$4:$I$103,MATCH($A105,'4'!$C$4:$C$103,0)),0))</f>
        <v>0</v>
      </c>
      <c r="L105" s="24" t="str">
        <f>IF($A105="","",IFERROR(INDEX('5'!$A$4:$A$103,MATCH($A105,'5'!$C$4:$C$103,0)),""))</f>
        <v/>
      </c>
      <c r="M105" s="15">
        <f>IF($A105="",0,IFERROR(INDEX('5'!$I$4:$I$103,MATCH($A105,'5'!$C$4:$C$103,0)),0))</f>
        <v>0</v>
      </c>
      <c r="N105" s="25" t="str">
        <f t="shared" si="6"/>
        <v/>
      </c>
      <c r="O105" s="26" t="str">
        <f t="shared" si="7"/>
        <v/>
      </c>
      <c r="AA105" t="str">
        <f>IF(ISNUMBER(SEARCH("Junior",Scherpenzeel!E40)),Scherpenzeel!C40,"")</f>
        <v/>
      </c>
      <c r="AB105">
        <f>IF(AA105="",0,IF(COUNTIF($AA$1:AA105,AA105)=1,1,0))</f>
        <v>0</v>
      </c>
      <c r="AC105" t="str">
        <f>IF(AB105=1,COUNTIF($AB$1:AB105,1),"")</f>
        <v/>
      </c>
    </row>
    <row r="106" spans="1:29" x14ac:dyDescent="0.25">
      <c r="A106" s="13" t="str">
        <f>IFERROR(INDEX($AA$1:$AA$368,MATCH(103,$AC$1:$AC$368,0)),"")</f>
        <v/>
      </c>
      <c r="B106" s="13" t="str">
        <f>IF($A106="","",IF(IFERROR(INDEX(Barneveld!$E$4:$E$36,MATCH($A106,Barneveld!$C$4:$C$36,0)),"")&lt;&gt;"",IFERROR(INDEX(Barneveld!$E$4:$E$36,MATCH($A106,Barneveld!$C$4:$C$36,0)),""),IF(IFERROR(INDEX(Baarn!$F$4:$F$38,MATCH($A106,Baarn!$C$4:$C$38,0)),"")&lt;&gt;"",IFERROR(INDEX(Baarn!$F$4:$F$38,MATCH($A106,Baarn!$C$4:$C$38,0)),""),IF(IFERROR(INDEX(Scherpenzeel!$F$4:$F$103,MATCH($A106,Scherpenzeel!$C$4:$C$103,0)),"")&lt;&gt;"",IFERROR(INDEX(Scherpenzeel!$F$4:$F$103,MATCH($A106,Scherpenzeel!$C$4:$C$103,0)),""),IF(IFERROR(INDEX('4'!$F$4:$F$103,MATCH($A106,'4'!$C$4:$C$103,0)),"")&lt;&gt;"",IFERROR(INDEX('4'!$F$4:$F$103,MATCH($A106,'4'!$C$4:$C$103,0)),""),IFERROR(INDEX('5'!$F$4:$F$103,MATCH($A106,'5'!$C$4:$C$103,0)),""))))))</f>
        <v/>
      </c>
      <c r="C106" s="13" t="str">
        <f>IF($A106="","",IF(IFERROR(INDEX(Barneveld!$D$4:$D$36,MATCH($A106,Barneveld!$C$4:$C$36,0)),"")&lt;&gt;"",IFERROR(INDEX(Barneveld!$D$4:$D$36,MATCH($A106,Barneveld!$C$4:$C$36,0)),""),IF(IFERROR(INDEX(Baarn!$E$4:$E$38,MATCH($A106,Baarn!$C$4:$C$38,0)),"")&lt;&gt;"",IFERROR(INDEX(Baarn!$E$4:$E$38,MATCH($A106,Baarn!$C$4:$C$38,0)),""),IF(IFERROR(INDEX(Scherpenzeel!$E$4:$E$103,MATCH($A106,Scherpenzeel!$C$4:$C$103,0)),"")&lt;&gt;"",IFERROR(INDEX(Scherpenzeel!$E$4:$E$103,MATCH($A106,Scherpenzeel!$C$4:$C$103,0)),""),IF(IFERROR(INDEX('4'!$E$4:$E$103,MATCH($A106,'4'!$C$4:$C$103,0)),"")&lt;&gt;"",IFERROR(INDEX('4'!$E$4:$E$103,MATCH($A106,'4'!$C$4:$C$103,0)),""),IFERROR(INDEX('5'!$E$4:$E$103,MATCH($A106,'5'!$C$4:$C$103,0)),""))))))</f>
        <v/>
      </c>
      <c r="D106" s="24" t="str">
        <f>IF($A106="","",IFERROR(INDEX(Barneveld!$A$4:$A$36,MATCH($A106,Barneveld!$C$4:$C$36,0)),""))</f>
        <v/>
      </c>
      <c r="E106" s="15">
        <f>IF($A106="",0,IFERROR(INDEX(Barneveld!$H$4:$H$36,MATCH($A106,Barneveld!$C$4:$C$36,0)),0))</f>
        <v>0</v>
      </c>
      <c r="F106" s="24" t="str">
        <f>IF($A106="","",IFERROR(INDEX(Baarn!$A$4:$A$38,MATCH($A106,Baarn!$C$4:$C$38,0)),""))</f>
        <v/>
      </c>
      <c r="G106" s="15">
        <f>IF($A106="",0,IFERROR(INDEX(Baarn!$I$4:$I$38,MATCH($A106,Baarn!$C$4:$C$38,0)),0))</f>
        <v>0</v>
      </c>
      <c r="H106" s="24" t="str">
        <f>IF($A106="","",IFERROR(INDEX(Scherpenzeel!$A$4:$A$103,MATCH($A106,Scherpenzeel!$C$4:$C$103,0)),""))</f>
        <v/>
      </c>
      <c r="I106" s="15">
        <f>IF($A106="",0,IFERROR(INDEX(Scherpenzeel!$I$4:$I$103,MATCH($A106,Scherpenzeel!$C$4:$C$103,0)),0))</f>
        <v>0</v>
      </c>
      <c r="J106" s="24" t="str">
        <f>IF($A106="","",IFERROR(INDEX('4'!$A$4:$A$103,MATCH($A106,'4'!$C$4:$C$103,0)),""))</f>
        <v/>
      </c>
      <c r="K106" s="15">
        <f>IF($A106="",0,IFERROR(INDEX('4'!$I$4:$I$103,MATCH($A106,'4'!$C$4:$C$103,0)),0))</f>
        <v>0</v>
      </c>
      <c r="L106" s="24" t="str">
        <f>IF($A106="","",IFERROR(INDEX('5'!$A$4:$A$103,MATCH($A106,'5'!$C$4:$C$103,0)),""))</f>
        <v/>
      </c>
      <c r="M106" s="15">
        <f>IF($A106="",0,IFERROR(INDEX('5'!$I$4:$I$103,MATCH($A106,'5'!$C$4:$C$103,0)),0))</f>
        <v>0</v>
      </c>
      <c r="N106" s="25" t="str">
        <f t="shared" si="6"/>
        <v/>
      </c>
      <c r="O106" s="26" t="str">
        <f t="shared" si="7"/>
        <v/>
      </c>
      <c r="AA106" t="str">
        <f>IF(ISNUMBER(SEARCH("Junior",Scherpenzeel!E41)),Scherpenzeel!C41,"")</f>
        <v/>
      </c>
      <c r="AB106">
        <f>IF(AA106="",0,IF(COUNTIF($AA$1:AA106,AA106)=1,1,0))</f>
        <v>0</v>
      </c>
      <c r="AC106" t="str">
        <f>IF(AB106=1,COUNTIF($AB$1:AB106,1),"")</f>
        <v/>
      </c>
    </row>
    <row r="107" spans="1:29" x14ac:dyDescent="0.25">
      <c r="A107" s="13" t="str">
        <f>IFERROR(INDEX($AA$1:$AA$368,MATCH(104,$AC$1:$AC$368,0)),"")</f>
        <v/>
      </c>
      <c r="B107" s="13" t="str">
        <f>IF($A107="","",IF(IFERROR(INDEX(Barneveld!$E$4:$E$36,MATCH($A107,Barneveld!$C$4:$C$36,0)),"")&lt;&gt;"",IFERROR(INDEX(Barneveld!$E$4:$E$36,MATCH($A107,Barneveld!$C$4:$C$36,0)),""),IF(IFERROR(INDEX(Baarn!$F$4:$F$38,MATCH($A107,Baarn!$C$4:$C$38,0)),"")&lt;&gt;"",IFERROR(INDEX(Baarn!$F$4:$F$38,MATCH($A107,Baarn!$C$4:$C$38,0)),""),IF(IFERROR(INDEX(Scherpenzeel!$F$4:$F$103,MATCH($A107,Scherpenzeel!$C$4:$C$103,0)),"")&lt;&gt;"",IFERROR(INDEX(Scherpenzeel!$F$4:$F$103,MATCH($A107,Scherpenzeel!$C$4:$C$103,0)),""),IF(IFERROR(INDEX('4'!$F$4:$F$103,MATCH($A107,'4'!$C$4:$C$103,0)),"")&lt;&gt;"",IFERROR(INDEX('4'!$F$4:$F$103,MATCH($A107,'4'!$C$4:$C$103,0)),""),IFERROR(INDEX('5'!$F$4:$F$103,MATCH($A107,'5'!$C$4:$C$103,0)),""))))))</f>
        <v/>
      </c>
      <c r="C107" s="13" t="str">
        <f>IF($A107="","",IF(IFERROR(INDEX(Barneveld!$D$4:$D$36,MATCH($A107,Barneveld!$C$4:$C$36,0)),"")&lt;&gt;"",IFERROR(INDEX(Barneveld!$D$4:$D$36,MATCH($A107,Barneveld!$C$4:$C$36,0)),""),IF(IFERROR(INDEX(Baarn!$E$4:$E$38,MATCH($A107,Baarn!$C$4:$C$38,0)),"")&lt;&gt;"",IFERROR(INDEX(Baarn!$E$4:$E$38,MATCH($A107,Baarn!$C$4:$C$38,0)),""),IF(IFERROR(INDEX(Scherpenzeel!$E$4:$E$103,MATCH($A107,Scherpenzeel!$C$4:$C$103,0)),"")&lt;&gt;"",IFERROR(INDEX(Scherpenzeel!$E$4:$E$103,MATCH($A107,Scherpenzeel!$C$4:$C$103,0)),""),IF(IFERROR(INDEX('4'!$E$4:$E$103,MATCH($A107,'4'!$C$4:$C$103,0)),"")&lt;&gt;"",IFERROR(INDEX('4'!$E$4:$E$103,MATCH($A107,'4'!$C$4:$C$103,0)),""),IFERROR(INDEX('5'!$E$4:$E$103,MATCH($A107,'5'!$C$4:$C$103,0)),""))))))</f>
        <v/>
      </c>
      <c r="D107" s="24" t="str">
        <f>IF($A107="","",IFERROR(INDEX(Barneveld!$A$4:$A$36,MATCH($A107,Barneveld!$C$4:$C$36,0)),""))</f>
        <v/>
      </c>
      <c r="E107" s="15">
        <f>IF($A107="",0,IFERROR(INDEX(Barneveld!$H$4:$H$36,MATCH($A107,Barneveld!$C$4:$C$36,0)),0))</f>
        <v>0</v>
      </c>
      <c r="F107" s="24" t="str">
        <f>IF($A107="","",IFERROR(INDEX(Baarn!$A$4:$A$38,MATCH($A107,Baarn!$C$4:$C$38,0)),""))</f>
        <v/>
      </c>
      <c r="G107" s="15">
        <f>IF($A107="",0,IFERROR(INDEX(Baarn!$I$4:$I$38,MATCH($A107,Baarn!$C$4:$C$38,0)),0))</f>
        <v>0</v>
      </c>
      <c r="H107" s="24" t="str">
        <f>IF($A107="","",IFERROR(INDEX(Scherpenzeel!$A$4:$A$103,MATCH($A107,Scherpenzeel!$C$4:$C$103,0)),""))</f>
        <v/>
      </c>
      <c r="I107" s="15">
        <f>IF($A107="",0,IFERROR(INDEX(Scherpenzeel!$I$4:$I$103,MATCH($A107,Scherpenzeel!$C$4:$C$103,0)),0))</f>
        <v>0</v>
      </c>
      <c r="J107" s="24" t="str">
        <f>IF($A107="","",IFERROR(INDEX('4'!$A$4:$A$103,MATCH($A107,'4'!$C$4:$C$103,0)),""))</f>
        <v/>
      </c>
      <c r="K107" s="15">
        <f>IF($A107="",0,IFERROR(INDEX('4'!$I$4:$I$103,MATCH($A107,'4'!$C$4:$C$103,0)),0))</f>
        <v>0</v>
      </c>
      <c r="L107" s="24" t="str">
        <f>IF($A107="","",IFERROR(INDEX('5'!$A$4:$A$103,MATCH($A107,'5'!$C$4:$C$103,0)),""))</f>
        <v/>
      </c>
      <c r="M107" s="15">
        <f>IF($A107="",0,IFERROR(INDEX('5'!$I$4:$I$103,MATCH($A107,'5'!$C$4:$C$103,0)),0))</f>
        <v>0</v>
      </c>
      <c r="N107" s="25" t="str">
        <f t="shared" si="6"/>
        <v/>
      </c>
      <c r="O107" s="26" t="str">
        <f t="shared" si="7"/>
        <v/>
      </c>
      <c r="AA107" t="str">
        <f>IF(ISNUMBER(SEARCH("Junior",Scherpenzeel!E42)),Scherpenzeel!C42,"")</f>
        <v/>
      </c>
      <c r="AB107">
        <f>IF(AA107="",0,IF(COUNTIF($AA$1:AA107,AA107)=1,1,0))</f>
        <v>0</v>
      </c>
      <c r="AC107" t="str">
        <f>IF(AB107=1,COUNTIF($AB$1:AB107,1),"")</f>
        <v/>
      </c>
    </row>
    <row r="108" spans="1:29" x14ac:dyDescent="0.25">
      <c r="A108" s="13" t="str">
        <f>IFERROR(INDEX($AA$1:$AA$368,MATCH(105,$AC$1:$AC$368,0)),"")</f>
        <v/>
      </c>
      <c r="B108" s="13" t="str">
        <f>IF($A108="","",IF(IFERROR(INDEX(Barneveld!$E$4:$E$36,MATCH($A108,Barneveld!$C$4:$C$36,0)),"")&lt;&gt;"",IFERROR(INDEX(Barneveld!$E$4:$E$36,MATCH($A108,Barneveld!$C$4:$C$36,0)),""),IF(IFERROR(INDEX(Baarn!$F$4:$F$38,MATCH($A108,Baarn!$C$4:$C$38,0)),"")&lt;&gt;"",IFERROR(INDEX(Baarn!$F$4:$F$38,MATCH($A108,Baarn!$C$4:$C$38,0)),""),IF(IFERROR(INDEX(Scherpenzeel!$F$4:$F$103,MATCH($A108,Scherpenzeel!$C$4:$C$103,0)),"")&lt;&gt;"",IFERROR(INDEX(Scherpenzeel!$F$4:$F$103,MATCH($A108,Scherpenzeel!$C$4:$C$103,0)),""),IF(IFERROR(INDEX('4'!$F$4:$F$103,MATCH($A108,'4'!$C$4:$C$103,0)),"")&lt;&gt;"",IFERROR(INDEX('4'!$F$4:$F$103,MATCH($A108,'4'!$C$4:$C$103,0)),""),IFERROR(INDEX('5'!$F$4:$F$103,MATCH($A108,'5'!$C$4:$C$103,0)),""))))))</f>
        <v/>
      </c>
      <c r="C108" s="13" t="str">
        <f>IF($A108="","",IF(IFERROR(INDEX(Barneveld!$D$4:$D$36,MATCH($A108,Barneveld!$C$4:$C$36,0)),"")&lt;&gt;"",IFERROR(INDEX(Barneveld!$D$4:$D$36,MATCH($A108,Barneveld!$C$4:$C$36,0)),""),IF(IFERROR(INDEX(Baarn!$E$4:$E$38,MATCH($A108,Baarn!$C$4:$C$38,0)),"")&lt;&gt;"",IFERROR(INDEX(Baarn!$E$4:$E$38,MATCH($A108,Baarn!$C$4:$C$38,0)),""),IF(IFERROR(INDEX(Scherpenzeel!$E$4:$E$103,MATCH($A108,Scherpenzeel!$C$4:$C$103,0)),"")&lt;&gt;"",IFERROR(INDEX(Scherpenzeel!$E$4:$E$103,MATCH($A108,Scherpenzeel!$C$4:$C$103,0)),""),IF(IFERROR(INDEX('4'!$E$4:$E$103,MATCH($A108,'4'!$C$4:$C$103,0)),"")&lt;&gt;"",IFERROR(INDEX('4'!$E$4:$E$103,MATCH($A108,'4'!$C$4:$C$103,0)),""),IFERROR(INDEX('5'!$E$4:$E$103,MATCH($A108,'5'!$C$4:$C$103,0)),""))))))</f>
        <v/>
      </c>
      <c r="D108" s="24" t="str">
        <f>IF($A108="","",IFERROR(INDEX(Barneveld!$A$4:$A$36,MATCH($A108,Barneveld!$C$4:$C$36,0)),""))</f>
        <v/>
      </c>
      <c r="E108" s="15">
        <f>IF($A108="",0,IFERROR(INDEX(Barneveld!$H$4:$H$36,MATCH($A108,Barneveld!$C$4:$C$36,0)),0))</f>
        <v>0</v>
      </c>
      <c r="F108" s="24" t="str">
        <f>IF($A108="","",IFERROR(INDEX(Baarn!$A$4:$A$38,MATCH($A108,Baarn!$C$4:$C$38,0)),""))</f>
        <v/>
      </c>
      <c r="G108" s="15">
        <f>IF($A108="",0,IFERROR(INDEX(Baarn!$I$4:$I$38,MATCH($A108,Baarn!$C$4:$C$38,0)),0))</f>
        <v>0</v>
      </c>
      <c r="H108" s="24" t="str">
        <f>IF($A108="","",IFERROR(INDEX(Scherpenzeel!$A$4:$A$103,MATCH($A108,Scherpenzeel!$C$4:$C$103,0)),""))</f>
        <v/>
      </c>
      <c r="I108" s="15">
        <f>IF($A108="",0,IFERROR(INDEX(Scherpenzeel!$I$4:$I$103,MATCH($A108,Scherpenzeel!$C$4:$C$103,0)),0))</f>
        <v>0</v>
      </c>
      <c r="J108" s="24" t="str">
        <f>IF($A108="","",IFERROR(INDEX('4'!$A$4:$A$103,MATCH($A108,'4'!$C$4:$C$103,0)),""))</f>
        <v/>
      </c>
      <c r="K108" s="15">
        <f>IF($A108="",0,IFERROR(INDEX('4'!$I$4:$I$103,MATCH($A108,'4'!$C$4:$C$103,0)),0))</f>
        <v>0</v>
      </c>
      <c r="L108" s="24" t="str">
        <f>IF($A108="","",IFERROR(INDEX('5'!$A$4:$A$103,MATCH($A108,'5'!$C$4:$C$103,0)),""))</f>
        <v/>
      </c>
      <c r="M108" s="15">
        <f>IF($A108="",0,IFERROR(INDEX('5'!$I$4:$I$103,MATCH($A108,'5'!$C$4:$C$103,0)),0))</f>
        <v>0</v>
      </c>
      <c r="N108" s="25" t="str">
        <f t="shared" si="6"/>
        <v/>
      </c>
      <c r="O108" s="26" t="str">
        <f t="shared" si="7"/>
        <v/>
      </c>
      <c r="AA108" t="str">
        <f>IF(ISNUMBER(SEARCH("Junior",Scherpenzeel!E43)),Scherpenzeel!C43,"")</f>
        <v/>
      </c>
      <c r="AB108">
        <f>IF(AA108="",0,IF(COUNTIF($AA$1:AA108,AA108)=1,1,0))</f>
        <v>0</v>
      </c>
      <c r="AC108" t="str">
        <f>IF(AB108=1,COUNTIF($AB$1:AB108,1),"")</f>
        <v/>
      </c>
    </row>
    <row r="109" spans="1:29" x14ac:dyDescent="0.25">
      <c r="A109" s="13" t="str">
        <f>IFERROR(INDEX($AA$1:$AA$368,MATCH(106,$AC$1:$AC$368,0)),"")</f>
        <v/>
      </c>
      <c r="B109" s="13" t="str">
        <f>IF($A109="","",IF(IFERROR(INDEX(Barneveld!$E$4:$E$36,MATCH($A109,Barneveld!$C$4:$C$36,0)),"")&lt;&gt;"",IFERROR(INDEX(Barneveld!$E$4:$E$36,MATCH($A109,Barneveld!$C$4:$C$36,0)),""),IF(IFERROR(INDEX(Baarn!$F$4:$F$38,MATCH($A109,Baarn!$C$4:$C$38,0)),"")&lt;&gt;"",IFERROR(INDEX(Baarn!$F$4:$F$38,MATCH($A109,Baarn!$C$4:$C$38,0)),""),IF(IFERROR(INDEX(Scherpenzeel!$F$4:$F$103,MATCH($A109,Scherpenzeel!$C$4:$C$103,0)),"")&lt;&gt;"",IFERROR(INDEX(Scherpenzeel!$F$4:$F$103,MATCH($A109,Scherpenzeel!$C$4:$C$103,0)),""),IF(IFERROR(INDEX('4'!$F$4:$F$103,MATCH($A109,'4'!$C$4:$C$103,0)),"")&lt;&gt;"",IFERROR(INDEX('4'!$F$4:$F$103,MATCH($A109,'4'!$C$4:$C$103,0)),""),IFERROR(INDEX('5'!$F$4:$F$103,MATCH($A109,'5'!$C$4:$C$103,0)),""))))))</f>
        <v/>
      </c>
      <c r="C109" s="13" t="str">
        <f>IF($A109="","",IF(IFERROR(INDEX(Barneveld!$D$4:$D$36,MATCH($A109,Barneveld!$C$4:$C$36,0)),"")&lt;&gt;"",IFERROR(INDEX(Barneveld!$D$4:$D$36,MATCH($A109,Barneveld!$C$4:$C$36,0)),""),IF(IFERROR(INDEX(Baarn!$E$4:$E$38,MATCH($A109,Baarn!$C$4:$C$38,0)),"")&lt;&gt;"",IFERROR(INDEX(Baarn!$E$4:$E$38,MATCH($A109,Baarn!$C$4:$C$38,0)),""),IF(IFERROR(INDEX(Scherpenzeel!$E$4:$E$103,MATCH($A109,Scherpenzeel!$C$4:$C$103,0)),"")&lt;&gt;"",IFERROR(INDEX(Scherpenzeel!$E$4:$E$103,MATCH($A109,Scherpenzeel!$C$4:$C$103,0)),""),IF(IFERROR(INDEX('4'!$E$4:$E$103,MATCH($A109,'4'!$C$4:$C$103,0)),"")&lt;&gt;"",IFERROR(INDEX('4'!$E$4:$E$103,MATCH($A109,'4'!$C$4:$C$103,0)),""),IFERROR(INDEX('5'!$E$4:$E$103,MATCH($A109,'5'!$C$4:$C$103,0)),""))))))</f>
        <v/>
      </c>
      <c r="D109" s="24" t="str">
        <f>IF($A109="","",IFERROR(INDEX(Barneveld!$A$4:$A$36,MATCH($A109,Barneveld!$C$4:$C$36,0)),""))</f>
        <v/>
      </c>
      <c r="E109" s="15">
        <f>IF($A109="",0,IFERROR(INDEX(Barneveld!$H$4:$H$36,MATCH($A109,Barneveld!$C$4:$C$36,0)),0))</f>
        <v>0</v>
      </c>
      <c r="F109" s="24" t="str">
        <f>IF($A109="","",IFERROR(INDEX(Baarn!$A$4:$A$38,MATCH($A109,Baarn!$C$4:$C$38,0)),""))</f>
        <v/>
      </c>
      <c r="G109" s="15">
        <f>IF($A109="",0,IFERROR(INDEX(Baarn!$I$4:$I$38,MATCH($A109,Baarn!$C$4:$C$38,0)),0))</f>
        <v>0</v>
      </c>
      <c r="H109" s="24" t="str">
        <f>IF($A109="","",IFERROR(INDEX(Scherpenzeel!$A$4:$A$103,MATCH($A109,Scherpenzeel!$C$4:$C$103,0)),""))</f>
        <v/>
      </c>
      <c r="I109" s="15">
        <f>IF($A109="",0,IFERROR(INDEX(Scherpenzeel!$I$4:$I$103,MATCH($A109,Scherpenzeel!$C$4:$C$103,0)),0))</f>
        <v>0</v>
      </c>
      <c r="J109" s="24" t="str">
        <f>IF($A109="","",IFERROR(INDEX('4'!$A$4:$A$103,MATCH($A109,'4'!$C$4:$C$103,0)),""))</f>
        <v/>
      </c>
      <c r="K109" s="15">
        <f>IF($A109="",0,IFERROR(INDEX('4'!$I$4:$I$103,MATCH($A109,'4'!$C$4:$C$103,0)),0))</f>
        <v>0</v>
      </c>
      <c r="L109" s="24" t="str">
        <f>IF($A109="","",IFERROR(INDEX('5'!$A$4:$A$103,MATCH($A109,'5'!$C$4:$C$103,0)),""))</f>
        <v/>
      </c>
      <c r="M109" s="15">
        <f>IF($A109="",0,IFERROR(INDEX('5'!$I$4:$I$103,MATCH($A109,'5'!$C$4:$C$103,0)),0))</f>
        <v>0</v>
      </c>
      <c r="N109" s="25" t="str">
        <f t="shared" si="6"/>
        <v/>
      </c>
      <c r="O109" s="26" t="str">
        <f t="shared" si="7"/>
        <v/>
      </c>
      <c r="AA109" t="str">
        <f>IF(ISNUMBER(SEARCH("Junior",Scherpenzeel!E44)),Scherpenzeel!C44,"")</f>
        <v/>
      </c>
      <c r="AB109">
        <f>IF(AA109="",0,IF(COUNTIF($AA$1:AA109,AA109)=1,1,0))</f>
        <v>0</v>
      </c>
      <c r="AC109" t="str">
        <f>IF(AB109=1,COUNTIF($AB$1:AB109,1),"")</f>
        <v/>
      </c>
    </row>
    <row r="110" spans="1:29" x14ac:dyDescent="0.25">
      <c r="A110" s="13" t="str">
        <f>IFERROR(INDEX($AA$1:$AA$368,MATCH(107,$AC$1:$AC$368,0)),"")</f>
        <v/>
      </c>
      <c r="B110" s="13" t="str">
        <f>IF($A110="","",IF(IFERROR(INDEX(Barneveld!$E$4:$E$36,MATCH($A110,Barneveld!$C$4:$C$36,0)),"")&lt;&gt;"",IFERROR(INDEX(Barneveld!$E$4:$E$36,MATCH($A110,Barneveld!$C$4:$C$36,0)),""),IF(IFERROR(INDEX(Baarn!$F$4:$F$38,MATCH($A110,Baarn!$C$4:$C$38,0)),"")&lt;&gt;"",IFERROR(INDEX(Baarn!$F$4:$F$38,MATCH($A110,Baarn!$C$4:$C$38,0)),""),IF(IFERROR(INDEX(Scherpenzeel!$F$4:$F$103,MATCH($A110,Scherpenzeel!$C$4:$C$103,0)),"")&lt;&gt;"",IFERROR(INDEX(Scherpenzeel!$F$4:$F$103,MATCH($A110,Scherpenzeel!$C$4:$C$103,0)),""),IF(IFERROR(INDEX('4'!$F$4:$F$103,MATCH($A110,'4'!$C$4:$C$103,0)),"")&lt;&gt;"",IFERROR(INDEX('4'!$F$4:$F$103,MATCH($A110,'4'!$C$4:$C$103,0)),""),IFERROR(INDEX('5'!$F$4:$F$103,MATCH($A110,'5'!$C$4:$C$103,0)),""))))))</f>
        <v/>
      </c>
      <c r="C110" s="13" t="str">
        <f>IF($A110="","",IF(IFERROR(INDEX(Barneveld!$D$4:$D$36,MATCH($A110,Barneveld!$C$4:$C$36,0)),"")&lt;&gt;"",IFERROR(INDEX(Barneveld!$D$4:$D$36,MATCH($A110,Barneveld!$C$4:$C$36,0)),""),IF(IFERROR(INDEX(Baarn!$E$4:$E$38,MATCH($A110,Baarn!$C$4:$C$38,0)),"")&lt;&gt;"",IFERROR(INDEX(Baarn!$E$4:$E$38,MATCH($A110,Baarn!$C$4:$C$38,0)),""),IF(IFERROR(INDEX(Scherpenzeel!$E$4:$E$103,MATCH($A110,Scherpenzeel!$C$4:$C$103,0)),"")&lt;&gt;"",IFERROR(INDEX(Scherpenzeel!$E$4:$E$103,MATCH($A110,Scherpenzeel!$C$4:$C$103,0)),""),IF(IFERROR(INDEX('4'!$E$4:$E$103,MATCH($A110,'4'!$C$4:$C$103,0)),"")&lt;&gt;"",IFERROR(INDEX('4'!$E$4:$E$103,MATCH($A110,'4'!$C$4:$C$103,0)),""),IFERROR(INDEX('5'!$E$4:$E$103,MATCH($A110,'5'!$C$4:$C$103,0)),""))))))</f>
        <v/>
      </c>
      <c r="D110" s="24" t="str">
        <f>IF($A110="","",IFERROR(INDEX(Barneveld!$A$4:$A$36,MATCH($A110,Barneveld!$C$4:$C$36,0)),""))</f>
        <v/>
      </c>
      <c r="E110" s="15">
        <f>IF($A110="",0,IFERROR(INDEX(Barneveld!$H$4:$H$36,MATCH($A110,Barneveld!$C$4:$C$36,0)),0))</f>
        <v>0</v>
      </c>
      <c r="F110" s="24" t="str">
        <f>IF($A110="","",IFERROR(INDEX(Baarn!$A$4:$A$38,MATCH($A110,Baarn!$C$4:$C$38,0)),""))</f>
        <v/>
      </c>
      <c r="G110" s="15">
        <f>IF($A110="",0,IFERROR(INDEX(Baarn!$I$4:$I$38,MATCH($A110,Baarn!$C$4:$C$38,0)),0))</f>
        <v>0</v>
      </c>
      <c r="H110" s="24" t="str">
        <f>IF($A110="","",IFERROR(INDEX(Scherpenzeel!$A$4:$A$103,MATCH($A110,Scherpenzeel!$C$4:$C$103,0)),""))</f>
        <v/>
      </c>
      <c r="I110" s="15">
        <f>IF($A110="",0,IFERROR(INDEX(Scherpenzeel!$I$4:$I$103,MATCH($A110,Scherpenzeel!$C$4:$C$103,0)),0))</f>
        <v>0</v>
      </c>
      <c r="J110" s="24" t="str">
        <f>IF($A110="","",IFERROR(INDEX('4'!$A$4:$A$103,MATCH($A110,'4'!$C$4:$C$103,0)),""))</f>
        <v/>
      </c>
      <c r="K110" s="15">
        <f>IF($A110="",0,IFERROR(INDEX('4'!$I$4:$I$103,MATCH($A110,'4'!$C$4:$C$103,0)),0))</f>
        <v>0</v>
      </c>
      <c r="L110" s="24" t="str">
        <f>IF($A110="","",IFERROR(INDEX('5'!$A$4:$A$103,MATCH($A110,'5'!$C$4:$C$103,0)),""))</f>
        <v/>
      </c>
      <c r="M110" s="15">
        <f>IF($A110="",0,IFERROR(INDEX('5'!$I$4:$I$103,MATCH($A110,'5'!$C$4:$C$103,0)),0))</f>
        <v>0</v>
      </c>
      <c r="N110" s="25" t="str">
        <f t="shared" si="6"/>
        <v/>
      </c>
      <c r="O110" s="26" t="str">
        <f t="shared" si="7"/>
        <v/>
      </c>
      <c r="AA110" t="str">
        <f>IF(ISNUMBER(SEARCH("Junior",Scherpenzeel!E45)),Scherpenzeel!C45,"")</f>
        <v/>
      </c>
      <c r="AB110">
        <f>IF(AA110="",0,IF(COUNTIF($AA$1:AA110,AA110)=1,1,0))</f>
        <v>0</v>
      </c>
      <c r="AC110" t="str">
        <f>IF(AB110=1,COUNTIF($AB$1:AB110,1),"")</f>
        <v/>
      </c>
    </row>
    <row r="111" spans="1:29" x14ac:dyDescent="0.25">
      <c r="A111" s="13" t="str">
        <f>IFERROR(INDEX($AA$1:$AA$368,MATCH(108,$AC$1:$AC$368,0)),"")</f>
        <v/>
      </c>
      <c r="B111" s="13" t="str">
        <f>IF($A111="","",IF(IFERROR(INDEX(Barneveld!$E$4:$E$36,MATCH($A111,Barneveld!$C$4:$C$36,0)),"")&lt;&gt;"",IFERROR(INDEX(Barneveld!$E$4:$E$36,MATCH($A111,Barneveld!$C$4:$C$36,0)),""),IF(IFERROR(INDEX(Baarn!$F$4:$F$38,MATCH($A111,Baarn!$C$4:$C$38,0)),"")&lt;&gt;"",IFERROR(INDEX(Baarn!$F$4:$F$38,MATCH($A111,Baarn!$C$4:$C$38,0)),""),IF(IFERROR(INDEX(Scherpenzeel!$F$4:$F$103,MATCH($A111,Scherpenzeel!$C$4:$C$103,0)),"")&lt;&gt;"",IFERROR(INDEX(Scherpenzeel!$F$4:$F$103,MATCH($A111,Scherpenzeel!$C$4:$C$103,0)),""),IF(IFERROR(INDEX('4'!$F$4:$F$103,MATCH($A111,'4'!$C$4:$C$103,0)),"")&lt;&gt;"",IFERROR(INDEX('4'!$F$4:$F$103,MATCH($A111,'4'!$C$4:$C$103,0)),""),IFERROR(INDEX('5'!$F$4:$F$103,MATCH($A111,'5'!$C$4:$C$103,0)),""))))))</f>
        <v/>
      </c>
      <c r="C111" s="13" t="str">
        <f>IF($A111="","",IF(IFERROR(INDEX(Barneveld!$D$4:$D$36,MATCH($A111,Barneveld!$C$4:$C$36,0)),"")&lt;&gt;"",IFERROR(INDEX(Barneveld!$D$4:$D$36,MATCH($A111,Barneveld!$C$4:$C$36,0)),""),IF(IFERROR(INDEX(Baarn!$E$4:$E$38,MATCH($A111,Baarn!$C$4:$C$38,0)),"")&lt;&gt;"",IFERROR(INDEX(Baarn!$E$4:$E$38,MATCH($A111,Baarn!$C$4:$C$38,0)),""),IF(IFERROR(INDEX(Scherpenzeel!$E$4:$E$103,MATCH($A111,Scherpenzeel!$C$4:$C$103,0)),"")&lt;&gt;"",IFERROR(INDEX(Scherpenzeel!$E$4:$E$103,MATCH($A111,Scherpenzeel!$C$4:$C$103,0)),""),IF(IFERROR(INDEX('4'!$E$4:$E$103,MATCH($A111,'4'!$C$4:$C$103,0)),"")&lt;&gt;"",IFERROR(INDEX('4'!$E$4:$E$103,MATCH($A111,'4'!$C$4:$C$103,0)),""),IFERROR(INDEX('5'!$E$4:$E$103,MATCH($A111,'5'!$C$4:$C$103,0)),""))))))</f>
        <v/>
      </c>
      <c r="D111" s="24" t="str">
        <f>IF($A111="","",IFERROR(INDEX(Barneveld!$A$4:$A$36,MATCH($A111,Barneveld!$C$4:$C$36,0)),""))</f>
        <v/>
      </c>
      <c r="E111" s="15">
        <f>IF($A111="",0,IFERROR(INDEX(Barneveld!$H$4:$H$36,MATCH($A111,Barneveld!$C$4:$C$36,0)),0))</f>
        <v>0</v>
      </c>
      <c r="F111" s="24" t="str">
        <f>IF($A111="","",IFERROR(INDEX(Baarn!$A$4:$A$38,MATCH($A111,Baarn!$C$4:$C$38,0)),""))</f>
        <v/>
      </c>
      <c r="G111" s="15">
        <f>IF($A111="",0,IFERROR(INDEX(Baarn!$I$4:$I$38,MATCH($A111,Baarn!$C$4:$C$38,0)),0))</f>
        <v>0</v>
      </c>
      <c r="H111" s="24" t="str">
        <f>IF($A111="","",IFERROR(INDEX(Scherpenzeel!$A$4:$A$103,MATCH($A111,Scherpenzeel!$C$4:$C$103,0)),""))</f>
        <v/>
      </c>
      <c r="I111" s="15">
        <f>IF($A111="",0,IFERROR(INDEX(Scherpenzeel!$I$4:$I$103,MATCH($A111,Scherpenzeel!$C$4:$C$103,0)),0))</f>
        <v>0</v>
      </c>
      <c r="J111" s="24" t="str">
        <f>IF($A111="","",IFERROR(INDEX('4'!$A$4:$A$103,MATCH($A111,'4'!$C$4:$C$103,0)),""))</f>
        <v/>
      </c>
      <c r="K111" s="15">
        <f>IF($A111="",0,IFERROR(INDEX('4'!$I$4:$I$103,MATCH($A111,'4'!$C$4:$C$103,0)),0))</f>
        <v>0</v>
      </c>
      <c r="L111" s="24" t="str">
        <f>IF($A111="","",IFERROR(INDEX('5'!$A$4:$A$103,MATCH($A111,'5'!$C$4:$C$103,0)),""))</f>
        <v/>
      </c>
      <c r="M111" s="15">
        <f>IF($A111="",0,IFERROR(INDEX('5'!$I$4:$I$103,MATCH($A111,'5'!$C$4:$C$103,0)),0))</f>
        <v>0</v>
      </c>
      <c r="N111" s="25" t="str">
        <f t="shared" si="6"/>
        <v/>
      </c>
      <c r="O111" s="26" t="str">
        <f t="shared" si="7"/>
        <v/>
      </c>
      <c r="AA111" t="str">
        <f>IF(ISNUMBER(SEARCH("Junior",Scherpenzeel!E46)),Scherpenzeel!C46,"")</f>
        <v/>
      </c>
      <c r="AB111">
        <f>IF(AA111="",0,IF(COUNTIF($AA$1:AA111,AA111)=1,1,0))</f>
        <v>0</v>
      </c>
      <c r="AC111" t="str">
        <f>IF(AB111=1,COUNTIF($AB$1:AB111,1),"")</f>
        <v/>
      </c>
    </row>
    <row r="112" spans="1:29" x14ac:dyDescent="0.25">
      <c r="A112" s="13" t="str">
        <f>IFERROR(INDEX($AA$1:$AA$368,MATCH(109,$AC$1:$AC$368,0)),"")</f>
        <v/>
      </c>
      <c r="B112" s="13" t="str">
        <f>IF($A112="","",IF(IFERROR(INDEX(Barneveld!$E$4:$E$36,MATCH($A112,Barneveld!$C$4:$C$36,0)),"")&lt;&gt;"",IFERROR(INDEX(Barneveld!$E$4:$E$36,MATCH($A112,Barneveld!$C$4:$C$36,0)),""),IF(IFERROR(INDEX(Baarn!$F$4:$F$38,MATCH($A112,Baarn!$C$4:$C$38,0)),"")&lt;&gt;"",IFERROR(INDEX(Baarn!$F$4:$F$38,MATCH($A112,Baarn!$C$4:$C$38,0)),""),IF(IFERROR(INDEX(Scherpenzeel!$F$4:$F$103,MATCH($A112,Scherpenzeel!$C$4:$C$103,0)),"")&lt;&gt;"",IFERROR(INDEX(Scherpenzeel!$F$4:$F$103,MATCH($A112,Scherpenzeel!$C$4:$C$103,0)),""),IF(IFERROR(INDEX('4'!$F$4:$F$103,MATCH($A112,'4'!$C$4:$C$103,0)),"")&lt;&gt;"",IFERROR(INDEX('4'!$F$4:$F$103,MATCH($A112,'4'!$C$4:$C$103,0)),""),IFERROR(INDEX('5'!$F$4:$F$103,MATCH($A112,'5'!$C$4:$C$103,0)),""))))))</f>
        <v/>
      </c>
      <c r="C112" s="13" t="str">
        <f>IF($A112="","",IF(IFERROR(INDEX(Barneveld!$D$4:$D$36,MATCH($A112,Barneveld!$C$4:$C$36,0)),"")&lt;&gt;"",IFERROR(INDEX(Barneveld!$D$4:$D$36,MATCH($A112,Barneveld!$C$4:$C$36,0)),""),IF(IFERROR(INDEX(Baarn!$E$4:$E$38,MATCH($A112,Baarn!$C$4:$C$38,0)),"")&lt;&gt;"",IFERROR(INDEX(Baarn!$E$4:$E$38,MATCH($A112,Baarn!$C$4:$C$38,0)),""),IF(IFERROR(INDEX(Scherpenzeel!$E$4:$E$103,MATCH($A112,Scherpenzeel!$C$4:$C$103,0)),"")&lt;&gt;"",IFERROR(INDEX(Scherpenzeel!$E$4:$E$103,MATCH($A112,Scherpenzeel!$C$4:$C$103,0)),""),IF(IFERROR(INDEX('4'!$E$4:$E$103,MATCH($A112,'4'!$C$4:$C$103,0)),"")&lt;&gt;"",IFERROR(INDEX('4'!$E$4:$E$103,MATCH($A112,'4'!$C$4:$C$103,0)),""),IFERROR(INDEX('5'!$E$4:$E$103,MATCH($A112,'5'!$C$4:$C$103,0)),""))))))</f>
        <v/>
      </c>
      <c r="D112" s="24" t="str">
        <f>IF($A112="","",IFERROR(INDEX(Barneveld!$A$4:$A$36,MATCH($A112,Barneveld!$C$4:$C$36,0)),""))</f>
        <v/>
      </c>
      <c r="E112" s="15">
        <f>IF($A112="",0,IFERROR(INDEX(Barneveld!$H$4:$H$36,MATCH($A112,Barneveld!$C$4:$C$36,0)),0))</f>
        <v>0</v>
      </c>
      <c r="F112" s="24" t="str">
        <f>IF($A112="","",IFERROR(INDEX(Baarn!$A$4:$A$38,MATCH($A112,Baarn!$C$4:$C$38,0)),""))</f>
        <v/>
      </c>
      <c r="G112" s="15">
        <f>IF($A112="",0,IFERROR(INDEX(Baarn!$I$4:$I$38,MATCH($A112,Baarn!$C$4:$C$38,0)),0))</f>
        <v>0</v>
      </c>
      <c r="H112" s="24" t="str">
        <f>IF($A112="","",IFERROR(INDEX(Scherpenzeel!$A$4:$A$103,MATCH($A112,Scherpenzeel!$C$4:$C$103,0)),""))</f>
        <v/>
      </c>
      <c r="I112" s="15">
        <f>IF($A112="",0,IFERROR(INDEX(Scherpenzeel!$I$4:$I$103,MATCH($A112,Scherpenzeel!$C$4:$C$103,0)),0))</f>
        <v>0</v>
      </c>
      <c r="J112" s="24" t="str">
        <f>IF($A112="","",IFERROR(INDEX('4'!$A$4:$A$103,MATCH($A112,'4'!$C$4:$C$103,0)),""))</f>
        <v/>
      </c>
      <c r="K112" s="15">
        <f>IF($A112="",0,IFERROR(INDEX('4'!$I$4:$I$103,MATCH($A112,'4'!$C$4:$C$103,0)),0))</f>
        <v>0</v>
      </c>
      <c r="L112" s="24" t="str">
        <f>IF($A112="","",IFERROR(INDEX('5'!$A$4:$A$103,MATCH($A112,'5'!$C$4:$C$103,0)),""))</f>
        <v/>
      </c>
      <c r="M112" s="15">
        <f>IF($A112="",0,IFERROR(INDEX('5'!$I$4:$I$103,MATCH($A112,'5'!$C$4:$C$103,0)),0))</f>
        <v>0</v>
      </c>
      <c r="N112" s="25" t="str">
        <f t="shared" si="6"/>
        <v/>
      </c>
      <c r="O112" s="26" t="str">
        <f t="shared" si="7"/>
        <v/>
      </c>
      <c r="AA112" t="str">
        <f>IF(ISNUMBER(SEARCH("Junior",Scherpenzeel!E47)),Scherpenzeel!C47,"")</f>
        <v/>
      </c>
      <c r="AB112">
        <f>IF(AA112="",0,IF(COUNTIF($AA$1:AA112,AA112)=1,1,0))</f>
        <v>0</v>
      </c>
      <c r="AC112" t="str">
        <f>IF(AB112=1,COUNTIF($AB$1:AB112,1),"")</f>
        <v/>
      </c>
    </row>
    <row r="113" spans="1:29" x14ac:dyDescent="0.25">
      <c r="A113" s="13" t="str">
        <f>IFERROR(INDEX($AA$1:$AA$368,MATCH(110,$AC$1:$AC$368,0)),"")</f>
        <v/>
      </c>
      <c r="B113" s="13" t="str">
        <f>IF($A113="","",IF(IFERROR(INDEX(Barneveld!$E$4:$E$36,MATCH($A113,Barneveld!$C$4:$C$36,0)),"")&lt;&gt;"",IFERROR(INDEX(Barneveld!$E$4:$E$36,MATCH($A113,Barneveld!$C$4:$C$36,0)),""),IF(IFERROR(INDEX(Baarn!$F$4:$F$38,MATCH($A113,Baarn!$C$4:$C$38,0)),"")&lt;&gt;"",IFERROR(INDEX(Baarn!$F$4:$F$38,MATCH($A113,Baarn!$C$4:$C$38,0)),""),IF(IFERROR(INDEX(Scherpenzeel!$F$4:$F$103,MATCH($A113,Scherpenzeel!$C$4:$C$103,0)),"")&lt;&gt;"",IFERROR(INDEX(Scherpenzeel!$F$4:$F$103,MATCH($A113,Scherpenzeel!$C$4:$C$103,0)),""),IF(IFERROR(INDEX('4'!$F$4:$F$103,MATCH($A113,'4'!$C$4:$C$103,0)),"")&lt;&gt;"",IFERROR(INDEX('4'!$F$4:$F$103,MATCH($A113,'4'!$C$4:$C$103,0)),""),IFERROR(INDEX('5'!$F$4:$F$103,MATCH($A113,'5'!$C$4:$C$103,0)),""))))))</f>
        <v/>
      </c>
      <c r="C113" s="13" t="str">
        <f>IF($A113="","",IF(IFERROR(INDEX(Barneveld!$D$4:$D$36,MATCH($A113,Barneveld!$C$4:$C$36,0)),"")&lt;&gt;"",IFERROR(INDEX(Barneveld!$D$4:$D$36,MATCH($A113,Barneveld!$C$4:$C$36,0)),""),IF(IFERROR(INDEX(Baarn!$E$4:$E$38,MATCH($A113,Baarn!$C$4:$C$38,0)),"")&lt;&gt;"",IFERROR(INDEX(Baarn!$E$4:$E$38,MATCH($A113,Baarn!$C$4:$C$38,0)),""),IF(IFERROR(INDEX(Scherpenzeel!$E$4:$E$103,MATCH($A113,Scherpenzeel!$C$4:$C$103,0)),"")&lt;&gt;"",IFERROR(INDEX(Scherpenzeel!$E$4:$E$103,MATCH($A113,Scherpenzeel!$C$4:$C$103,0)),""),IF(IFERROR(INDEX('4'!$E$4:$E$103,MATCH($A113,'4'!$C$4:$C$103,0)),"")&lt;&gt;"",IFERROR(INDEX('4'!$E$4:$E$103,MATCH($A113,'4'!$C$4:$C$103,0)),""),IFERROR(INDEX('5'!$E$4:$E$103,MATCH($A113,'5'!$C$4:$C$103,0)),""))))))</f>
        <v/>
      </c>
      <c r="D113" s="24" t="str">
        <f>IF($A113="","",IFERROR(INDEX(Barneveld!$A$4:$A$36,MATCH($A113,Barneveld!$C$4:$C$36,0)),""))</f>
        <v/>
      </c>
      <c r="E113" s="15">
        <f>IF($A113="",0,IFERROR(INDEX(Barneveld!$H$4:$H$36,MATCH($A113,Barneveld!$C$4:$C$36,0)),0))</f>
        <v>0</v>
      </c>
      <c r="F113" s="24" t="str">
        <f>IF($A113="","",IFERROR(INDEX(Baarn!$A$4:$A$38,MATCH($A113,Baarn!$C$4:$C$38,0)),""))</f>
        <v/>
      </c>
      <c r="G113" s="15">
        <f>IF($A113="",0,IFERROR(INDEX(Baarn!$I$4:$I$38,MATCH($A113,Baarn!$C$4:$C$38,0)),0))</f>
        <v>0</v>
      </c>
      <c r="H113" s="24" t="str">
        <f>IF($A113="","",IFERROR(INDEX(Scherpenzeel!$A$4:$A$103,MATCH($A113,Scherpenzeel!$C$4:$C$103,0)),""))</f>
        <v/>
      </c>
      <c r="I113" s="15">
        <f>IF($A113="",0,IFERROR(INDEX(Scherpenzeel!$I$4:$I$103,MATCH($A113,Scherpenzeel!$C$4:$C$103,0)),0))</f>
        <v>0</v>
      </c>
      <c r="J113" s="24" t="str">
        <f>IF($A113="","",IFERROR(INDEX('4'!$A$4:$A$103,MATCH($A113,'4'!$C$4:$C$103,0)),""))</f>
        <v/>
      </c>
      <c r="K113" s="15">
        <f>IF($A113="",0,IFERROR(INDEX('4'!$I$4:$I$103,MATCH($A113,'4'!$C$4:$C$103,0)),0))</f>
        <v>0</v>
      </c>
      <c r="L113" s="24" t="str">
        <f>IF($A113="","",IFERROR(INDEX('5'!$A$4:$A$103,MATCH($A113,'5'!$C$4:$C$103,0)),""))</f>
        <v/>
      </c>
      <c r="M113" s="15">
        <f>IF($A113="",0,IFERROR(INDEX('5'!$I$4:$I$103,MATCH($A113,'5'!$C$4:$C$103,0)),0))</f>
        <v>0</v>
      </c>
      <c r="N113" s="25" t="str">
        <f t="shared" si="6"/>
        <v/>
      </c>
      <c r="O113" s="26" t="str">
        <f t="shared" si="7"/>
        <v/>
      </c>
      <c r="AA113" t="str">
        <f>IF(ISNUMBER(SEARCH("Junior",Scherpenzeel!E48)),Scherpenzeel!C48,"")</f>
        <v/>
      </c>
      <c r="AB113">
        <f>IF(AA113="",0,IF(COUNTIF($AA$1:AA113,AA113)=1,1,0))</f>
        <v>0</v>
      </c>
      <c r="AC113" t="str">
        <f>IF(AB113=1,COUNTIF($AB$1:AB113,1),"")</f>
        <v/>
      </c>
    </row>
    <row r="114" spans="1:29" x14ac:dyDescent="0.25">
      <c r="A114" s="13" t="str">
        <f>IFERROR(INDEX($AA$1:$AA$368,MATCH(111,$AC$1:$AC$368,0)),"")</f>
        <v/>
      </c>
      <c r="B114" s="13" t="str">
        <f>IF($A114="","",IF(IFERROR(INDEX(Barneveld!$E$4:$E$36,MATCH($A114,Barneveld!$C$4:$C$36,0)),"")&lt;&gt;"",IFERROR(INDEX(Barneveld!$E$4:$E$36,MATCH($A114,Barneveld!$C$4:$C$36,0)),""),IF(IFERROR(INDEX(Baarn!$F$4:$F$38,MATCH($A114,Baarn!$C$4:$C$38,0)),"")&lt;&gt;"",IFERROR(INDEX(Baarn!$F$4:$F$38,MATCH($A114,Baarn!$C$4:$C$38,0)),""),IF(IFERROR(INDEX(Scherpenzeel!$F$4:$F$103,MATCH($A114,Scherpenzeel!$C$4:$C$103,0)),"")&lt;&gt;"",IFERROR(INDEX(Scherpenzeel!$F$4:$F$103,MATCH($A114,Scherpenzeel!$C$4:$C$103,0)),""),IF(IFERROR(INDEX('4'!$F$4:$F$103,MATCH($A114,'4'!$C$4:$C$103,0)),"")&lt;&gt;"",IFERROR(INDEX('4'!$F$4:$F$103,MATCH($A114,'4'!$C$4:$C$103,0)),""),IFERROR(INDEX('5'!$F$4:$F$103,MATCH($A114,'5'!$C$4:$C$103,0)),""))))))</f>
        <v/>
      </c>
      <c r="C114" s="13" t="str">
        <f>IF($A114="","",IF(IFERROR(INDEX(Barneveld!$D$4:$D$36,MATCH($A114,Barneveld!$C$4:$C$36,0)),"")&lt;&gt;"",IFERROR(INDEX(Barneveld!$D$4:$D$36,MATCH($A114,Barneveld!$C$4:$C$36,0)),""),IF(IFERROR(INDEX(Baarn!$E$4:$E$38,MATCH($A114,Baarn!$C$4:$C$38,0)),"")&lt;&gt;"",IFERROR(INDEX(Baarn!$E$4:$E$38,MATCH($A114,Baarn!$C$4:$C$38,0)),""),IF(IFERROR(INDEX(Scherpenzeel!$E$4:$E$103,MATCH($A114,Scherpenzeel!$C$4:$C$103,0)),"")&lt;&gt;"",IFERROR(INDEX(Scherpenzeel!$E$4:$E$103,MATCH($A114,Scherpenzeel!$C$4:$C$103,0)),""),IF(IFERROR(INDEX('4'!$E$4:$E$103,MATCH($A114,'4'!$C$4:$C$103,0)),"")&lt;&gt;"",IFERROR(INDEX('4'!$E$4:$E$103,MATCH($A114,'4'!$C$4:$C$103,0)),""),IFERROR(INDEX('5'!$E$4:$E$103,MATCH($A114,'5'!$C$4:$C$103,0)),""))))))</f>
        <v/>
      </c>
      <c r="D114" s="24" t="str">
        <f>IF($A114="","",IFERROR(INDEX(Barneveld!$A$4:$A$36,MATCH($A114,Barneveld!$C$4:$C$36,0)),""))</f>
        <v/>
      </c>
      <c r="E114" s="15">
        <f>IF($A114="",0,IFERROR(INDEX(Barneveld!$H$4:$H$36,MATCH($A114,Barneveld!$C$4:$C$36,0)),0))</f>
        <v>0</v>
      </c>
      <c r="F114" s="24" t="str">
        <f>IF($A114="","",IFERROR(INDEX(Baarn!$A$4:$A$38,MATCH($A114,Baarn!$C$4:$C$38,0)),""))</f>
        <v/>
      </c>
      <c r="G114" s="15">
        <f>IF($A114="",0,IFERROR(INDEX(Baarn!$I$4:$I$38,MATCH($A114,Baarn!$C$4:$C$38,0)),0))</f>
        <v>0</v>
      </c>
      <c r="H114" s="24" t="str">
        <f>IF($A114="","",IFERROR(INDEX(Scherpenzeel!$A$4:$A$103,MATCH($A114,Scherpenzeel!$C$4:$C$103,0)),""))</f>
        <v/>
      </c>
      <c r="I114" s="15">
        <f>IF($A114="",0,IFERROR(INDEX(Scherpenzeel!$I$4:$I$103,MATCH($A114,Scherpenzeel!$C$4:$C$103,0)),0))</f>
        <v>0</v>
      </c>
      <c r="J114" s="24" t="str">
        <f>IF($A114="","",IFERROR(INDEX('4'!$A$4:$A$103,MATCH($A114,'4'!$C$4:$C$103,0)),""))</f>
        <v/>
      </c>
      <c r="K114" s="15">
        <f>IF($A114="",0,IFERROR(INDEX('4'!$I$4:$I$103,MATCH($A114,'4'!$C$4:$C$103,0)),0))</f>
        <v>0</v>
      </c>
      <c r="L114" s="24" t="str">
        <f>IF($A114="","",IFERROR(INDEX('5'!$A$4:$A$103,MATCH($A114,'5'!$C$4:$C$103,0)),""))</f>
        <v/>
      </c>
      <c r="M114" s="15">
        <f>IF($A114="",0,IFERROR(INDEX('5'!$I$4:$I$103,MATCH($A114,'5'!$C$4:$C$103,0)),0))</f>
        <v>0</v>
      </c>
      <c r="N114" s="25" t="str">
        <f t="shared" si="6"/>
        <v/>
      </c>
      <c r="O114" s="26" t="str">
        <f t="shared" si="7"/>
        <v/>
      </c>
      <c r="AA114" t="str">
        <f>IF(ISNUMBER(SEARCH("Junior",Scherpenzeel!E49)),Scherpenzeel!C49,"")</f>
        <v/>
      </c>
      <c r="AB114">
        <f>IF(AA114="",0,IF(COUNTIF($AA$1:AA114,AA114)=1,1,0))</f>
        <v>0</v>
      </c>
      <c r="AC114" t="str">
        <f>IF(AB114=1,COUNTIF($AB$1:AB114,1),"")</f>
        <v/>
      </c>
    </row>
    <row r="115" spans="1:29" x14ac:dyDescent="0.25">
      <c r="A115" s="13" t="str">
        <f>IFERROR(INDEX($AA$1:$AA$368,MATCH(112,$AC$1:$AC$368,0)),"")</f>
        <v/>
      </c>
      <c r="B115" s="13" t="str">
        <f>IF($A115="","",IF(IFERROR(INDEX(Barneveld!$E$4:$E$36,MATCH($A115,Barneveld!$C$4:$C$36,0)),"")&lt;&gt;"",IFERROR(INDEX(Barneveld!$E$4:$E$36,MATCH($A115,Barneveld!$C$4:$C$36,0)),""),IF(IFERROR(INDEX(Baarn!$F$4:$F$38,MATCH($A115,Baarn!$C$4:$C$38,0)),"")&lt;&gt;"",IFERROR(INDEX(Baarn!$F$4:$F$38,MATCH($A115,Baarn!$C$4:$C$38,0)),""),IF(IFERROR(INDEX(Scherpenzeel!$F$4:$F$103,MATCH($A115,Scherpenzeel!$C$4:$C$103,0)),"")&lt;&gt;"",IFERROR(INDEX(Scherpenzeel!$F$4:$F$103,MATCH($A115,Scherpenzeel!$C$4:$C$103,0)),""),IF(IFERROR(INDEX('4'!$F$4:$F$103,MATCH($A115,'4'!$C$4:$C$103,0)),"")&lt;&gt;"",IFERROR(INDEX('4'!$F$4:$F$103,MATCH($A115,'4'!$C$4:$C$103,0)),""),IFERROR(INDEX('5'!$F$4:$F$103,MATCH($A115,'5'!$C$4:$C$103,0)),""))))))</f>
        <v/>
      </c>
      <c r="C115" s="13" t="str">
        <f>IF($A115="","",IF(IFERROR(INDEX(Barneveld!$D$4:$D$36,MATCH($A115,Barneveld!$C$4:$C$36,0)),"")&lt;&gt;"",IFERROR(INDEX(Barneveld!$D$4:$D$36,MATCH($A115,Barneveld!$C$4:$C$36,0)),""),IF(IFERROR(INDEX(Baarn!$E$4:$E$38,MATCH($A115,Baarn!$C$4:$C$38,0)),"")&lt;&gt;"",IFERROR(INDEX(Baarn!$E$4:$E$38,MATCH($A115,Baarn!$C$4:$C$38,0)),""),IF(IFERROR(INDEX(Scherpenzeel!$E$4:$E$103,MATCH($A115,Scherpenzeel!$C$4:$C$103,0)),"")&lt;&gt;"",IFERROR(INDEX(Scherpenzeel!$E$4:$E$103,MATCH($A115,Scherpenzeel!$C$4:$C$103,0)),""),IF(IFERROR(INDEX('4'!$E$4:$E$103,MATCH($A115,'4'!$C$4:$C$103,0)),"")&lt;&gt;"",IFERROR(INDEX('4'!$E$4:$E$103,MATCH($A115,'4'!$C$4:$C$103,0)),""),IFERROR(INDEX('5'!$E$4:$E$103,MATCH($A115,'5'!$C$4:$C$103,0)),""))))))</f>
        <v/>
      </c>
      <c r="D115" s="24" t="str">
        <f>IF($A115="","",IFERROR(INDEX(Barneveld!$A$4:$A$36,MATCH($A115,Barneveld!$C$4:$C$36,0)),""))</f>
        <v/>
      </c>
      <c r="E115" s="15">
        <f>IF($A115="",0,IFERROR(INDEX(Barneveld!$H$4:$H$36,MATCH($A115,Barneveld!$C$4:$C$36,0)),0))</f>
        <v>0</v>
      </c>
      <c r="F115" s="24" t="str">
        <f>IF($A115="","",IFERROR(INDEX(Baarn!$A$4:$A$38,MATCH($A115,Baarn!$C$4:$C$38,0)),""))</f>
        <v/>
      </c>
      <c r="G115" s="15">
        <f>IF($A115="",0,IFERROR(INDEX(Baarn!$I$4:$I$38,MATCH($A115,Baarn!$C$4:$C$38,0)),0))</f>
        <v>0</v>
      </c>
      <c r="H115" s="24" t="str">
        <f>IF($A115="","",IFERROR(INDEX(Scherpenzeel!$A$4:$A$103,MATCH($A115,Scherpenzeel!$C$4:$C$103,0)),""))</f>
        <v/>
      </c>
      <c r="I115" s="15">
        <f>IF($A115="",0,IFERROR(INDEX(Scherpenzeel!$I$4:$I$103,MATCH($A115,Scherpenzeel!$C$4:$C$103,0)),0))</f>
        <v>0</v>
      </c>
      <c r="J115" s="24" t="str">
        <f>IF($A115="","",IFERROR(INDEX('4'!$A$4:$A$103,MATCH($A115,'4'!$C$4:$C$103,0)),""))</f>
        <v/>
      </c>
      <c r="K115" s="15">
        <f>IF($A115="",0,IFERROR(INDEX('4'!$I$4:$I$103,MATCH($A115,'4'!$C$4:$C$103,0)),0))</f>
        <v>0</v>
      </c>
      <c r="L115" s="24" t="str">
        <f>IF($A115="","",IFERROR(INDEX('5'!$A$4:$A$103,MATCH($A115,'5'!$C$4:$C$103,0)),""))</f>
        <v/>
      </c>
      <c r="M115" s="15">
        <f>IF($A115="",0,IFERROR(INDEX('5'!$I$4:$I$103,MATCH($A115,'5'!$C$4:$C$103,0)),0))</f>
        <v>0</v>
      </c>
      <c r="N115" s="25" t="str">
        <f t="shared" si="6"/>
        <v/>
      </c>
      <c r="O115" s="26" t="str">
        <f t="shared" si="7"/>
        <v/>
      </c>
      <c r="AA115" t="str">
        <f>IF(ISNUMBER(SEARCH("Junior",Scherpenzeel!E50)),Scherpenzeel!C50,"")</f>
        <v/>
      </c>
      <c r="AB115">
        <f>IF(AA115="",0,IF(COUNTIF($AA$1:AA115,AA115)=1,1,0))</f>
        <v>0</v>
      </c>
      <c r="AC115" t="str">
        <f>IF(AB115=1,COUNTIF($AB$1:AB115,1),"")</f>
        <v/>
      </c>
    </row>
    <row r="116" spans="1:29" x14ac:dyDescent="0.25">
      <c r="A116" s="13" t="str">
        <f>IFERROR(INDEX($AA$1:$AA$368,MATCH(113,$AC$1:$AC$368,0)),"")</f>
        <v/>
      </c>
      <c r="B116" s="13" t="str">
        <f>IF($A116="","",IF(IFERROR(INDEX(Barneveld!$E$4:$E$36,MATCH($A116,Barneveld!$C$4:$C$36,0)),"")&lt;&gt;"",IFERROR(INDEX(Barneveld!$E$4:$E$36,MATCH($A116,Barneveld!$C$4:$C$36,0)),""),IF(IFERROR(INDEX(Baarn!$F$4:$F$38,MATCH($A116,Baarn!$C$4:$C$38,0)),"")&lt;&gt;"",IFERROR(INDEX(Baarn!$F$4:$F$38,MATCH($A116,Baarn!$C$4:$C$38,0)),""),IF(IFERROR(INDEX(Scherpenzeel!$F$4:$F$103,MATCH($A116,Scherpenzeel!$C$4:$C$103,0)),"")&lt;&gt;"",IFERROR(INDEX(Scherpenzeel!$F$4:$F$103,MATCH($A116,Scherpenzeel!$C$4:$C$103,0)),""),IF(IFERROR(INDEX('4'!$F$4:$F$103,MATCH($A116,'4'!$C$4:$C$103,0)),"")&lt;&gt;"",IFERROR(INDEX('4'!$F$4:$F$103,MATCH($A116,'4'!$C$4:$C$103,0)),""),IFERROR(INDEX('5'!$F$4:$F$103,MATCH($A116,'5'!$C$4:$C$103,0)),""))))))</f>
        <v/>
      </c>
      <c r="C116" s="13" t="str">
        <f>IF($A116="","",IF(IFERROR(INDEX(Barneveld!$D$4:$D$36,MATCH($A116,Barneveld!$C$4:$C$36,0)),"")&lt;&gt;"",IFERROR(INDEX(Barneveld!$D$4:$D$36,MATCH($A116,Barneveld!$C$4:$C$36,0)),""),IF(IFERROR(INDEX(Baarn!$E$4:$E$38,MATCH($A116,Baarn!$C$4:$C$38,0)),"")&lt;&gt;"",IFERROR(INDEX(Baarn!$E$4:$E$38,MATCH($A116,Baarn!$C$4:$C$38,0)),""),IF(IFERROR(INDEX(Scherpenzeel!$E$4:$E$103,MATCH($A116,Scherpenzeel!$C$4:$C$103,0)),"")&lt;&gt;"",IFERROR(INDEX(Scherpenzeel!$E$4:$E$103,MATCH($A116,Scherpenzeel!$C$4:$C$103,0)),""),IF(IFERROR(INDEX('4'!$E$4:$E$103,MATCH($A116,'4'!$C$4:$C$103,0)),"")&lt;&gt;"",IFERROR(INDEX('4'!$E$4:$E$103,MATCH($A116,'4'!$C$4:$C$103,0)),""),IFERROR(INDEX('5'!$E$4:$E$103,MATCH($A116,'5'!$C$4:$C$103,0)),""))))))</f>
        <v/>
      </c>
      <c r="D116" s="24" t="str">
        <f>IF($A116="","",IFERROR(INDEX(Barneveld!$A$4:$A$36,MATCH($A116,Barneveld!$C$4:$C$36,0)),""))</f>
        <v/>
      </c>
      <c r="E116" s="15">
        <f>IF($A116="",0,IFERROR(INDEX(Barneveld!$H$4:$H$36,MATCH($A116,Barneveld!$C$4:$C$36,0)),0))</f>
        <v>0</v>
      </c>
      <c r="F116" s="24" t="str">
        <f>IF($A116="","",IFERROR(INDEX(Baarn!$A$4:$A$38,MATCH($A116,Baarn!$C$4:$C$38,0)),""))</f>
        <v/>
      </c>
      <c r="G116" s="15">
        <f>IF($A116="",0,IFERROR(INDEX(Baarn!$I$4:$I$38,MATCH($A116,Baarn!$C$4:$C$38,0)),0))</f>
        <v>0</v>
      </c>
      <c r="H116" s="24" t="str">
        <f>IF($A116="","",IFERROR(INDEX(Scherpenzeel!$A$4:$A$103,MATCH($A116,Scherpenzeel!$C$4:$C$103,0)),""))</f>
        <v/>
      </c>
      <c r="I116" s="15">
        <f>IF($A116="",0,IFERROR(INDEX(Scherpenzeel!$I$4:$I$103,MATCH($A116,Scherpenzeel!$C$4:$C$103,0)),0))</f>
        <v>0</v>
      </c>
      <c r="J116" s="24" t="str">
        <f>IF($A116="","",IFERROR(INDEX('4'!$A$4:$A$103,MATCH($A116,'4'!$C$4:$C$103,0)),""))</f>
        <v/>
      </c>
      <c r="K116" s="15">
        <f>IF($A116="",0,IFERROR(INDEX('4'!$I$4:$I$103,MATCH($A116,'4'!$C$4:$C$103,0)),0))</f>
        <v>0</v>
      </c>
      <c r="L116" s="24" t="str">
        <f>IF($A116="","",IFERROR(INDEX('5'!$A$4:$A$103,MATCH($A116,'5'!$C$4:$C$103,0)),""))</f>
        <v/>
      </c>
      <c r="M116" s="15">
        <f>IF($A116="",0,IFERROR(INDEX('5'!$I$4:$I$103,MATCH($A116,'5'!$C$4:$C$103,0)),0))</f>
        <v>0</v>
      </c>
      <c r="N116" s="25" t="str">
        <f t="shared" si="6"/>
        <v/>
      </c>
      <c r="O116" s="26" t="str">
        <f t="shared" si="7"/>
        <v/>
      </c>
      <c r="AA116" t="str">
        <f>IF(ISNUMBER(SEARCH("Junior",Scherpenzeel!E51)),Scherpenzeel!C51,"")</f>
        <v/>
      </c>
      <c r="AB116">
        <f>IF(AA116="",0,IF(COUNTIF($AA$1:AA116,AA116)=1,1,0))</f>
        <v>0</v>
      </c>
      <c r="AC116" t="str">
        <f>IF(AB116=1,COUNTIF($AB$1:AB116,1),"")</f>
        <v/>
      </c>
    </row>
    <row r="117" spans="1:29" x14ac:dyDescent="0.25">
      <c r="A117" s="13" t="str">
        <f>IFERROR(INDEX($AA$1:$AA$368,MATCH(114,$AC$1:$AC$368,0)),"")</f>
        <v/>
      </c>
      <c r="B117" s="13" t="str">
        <f>IF($A117="","",IF(IFERROR(INDEX(Barneveld!$E$4:$E$36,MATCH($A117,Barneveld!$C$4:$C$36,0)),"")&lt;&gt;"",IFERROR(INDEX(Barneveld!$E$4:$E$36,MATCH($A117,Barneveld!$C$4:$C$36,0)),""),IF(IFERROR(INDEX(Baarn!$F$4:$F$38,MATCH($A117,Baarn!$C$4:$C$38,0)),"")&lt;&gt;"",IFERROR(INDEX(Baarn!$F$4:$F$38,MATCH($A117,Baarn!$C$4:$C$38,0)),""),IF(IFERROR(INDEX(Scherpenzeel!$F$4:$F$103,MATCH($A117,Scherpenzeel!$C$4:$C$103,0)),"")&lt;&gt;"",IFERROR(INDEX(Scherpenzeel!$F$4:$F$103,MATCH($A117,Scherpenzeel!$C$4:$C$103,0)),""),IF(IFERROR(INDEX('4'!$F$4:$F$103,MATCH($A117,'4'!$C$4:$C$103,0)),"")&lt;&gt;"",IFERROR(INDEX('4'!$F$4:$F$103,MATCH($A117,'4'!$C$4:$C$103,0)),""),IFERROR(INDEX('5'!$F$4:$F$103,MATCH($A117,'5'!$C$4:$C$103,0)),""))))))</f>
        <v/>
      </c>
      <c r="C117" s="13" t="str">
        <f>IF($A117="","",IF(IFERROR(INDEX(Barneveld!$D$4:$D$36,MATCH($A117,Barneveld!$C$4:$C$36,0)),"")&lt;&gt;"",IFERROR(INDEX(Barneveld!$D$4:$D$36,MATCH($A117,Barneveld!$C$4:$C$36,0)),""),IF(IFERROR(INDEX(Baarn!$E$4:$E$38,MATCH($A117,Baarn!$C$4:$C$38,0)),"")&lt;&gt;"",IFERROR(INDEX(Baarn!$E$4:$E$38,MATCH($A117,Baarn!$C$4:$C$38,0)),""),IF(IFERROR(INDEX(Scherpenzeel!$E$4:$E$103,MATCH($A117,Scherpenzeel!$C$4:$C$103,0)),"")&lt;&gt;"",IFERROR(INDEX(Scherpenzeel!$E$4:$E$103,MATCH($A117,Scherpenzeel!$C$4:$C$103,0)),""),IF(IFERROR(INDEX('4'!$E$4:$E$103,MATCH($A117,'4'!$C$4:$C$103,0)),"")&lt;&gt;"",IFERROR(INDEX('4'!$E$4:$E$103,MATCH($A117,'4'!$C$4:$C$103,0)),""),IFERROR(INDEX('5'!$E$4:$E$103,MATCH($A117,'5'!$C$4:$C$103,0)),""))))))</f>
        <v/>
      </c>
      <c r="D117" s="24" t="str">
        <f>IF($A117="","",IFERROR(INDEX(Barneveld!$A$4:$A$36,MATCH($A117,Barneveld!$C$4:$C$36,0)),""))</f>
        <v/>
      </c>
      <c r="E117" s="15">
        <f>IF($A117="",0,IFERROR(INDEX(Barneveld!$H$4:$H$36,MATCH($A117,Barneveld!$C$4:$C$36,0)),0))</f>
        <v>0</v>
      </c>
      <c r="F117" s="24" t="str">
        <f>IF($A117="","",IFERROR(INDEX(Baarn!$A$4:$A$38,MATCH($A117,Baarn!$C$4:$C$38,0)),""))</f>
        <v/>
      </c>
      <c r="G117" s="15">
        <f>IF($A117="",0,IFERROR(INDEX(Baarn!$I$4:$I$38,MATCH($A117,Baarn!$C$4:$C$38,0)),0))</f>
        <v>0</v>
      </c>
      <c r="H117" s="24" t="str">
        <f>IF($A117="","",IFERROR(INDEX(Scherpenzeel!$A$4:$A$103,MATCH($A117,Scherpenzeel!$C$4:$C$103,0)),""))</f>
        <v/>
      </c>
      <c r="I117" s="15">
        <f>IF($A117="",0,IFERROR(INDEX(Scherpenzeel!$I$4:$I$103,MATCH($A117,Scherpenzeel!$C$4:$C$103,0)),0))</f>
        <v>0</v>
      </c>
      <c r="J117" s="24" t="str">
        <f>IF($A117="","",IFERROR(INDEX('4'!$A$4:$A$103,MATCH($A117,'4'!$C$4:$C$103,0)),""))</f>
        <v/>
      </c>
      <c r="K117" s="15">
        <f>IF($A117="",0,IFERROR(INDEX('4'!$I$4:$I$103,MATCH($A117,'4'!$C$4:$C$103,0)),0))</f>
        <v>0</v>
      </c>
      <c r="L117" s="24" t="str">
        <f>IF($A117="","",IFERROR(INDEX('5'!$A$4:$A$103,MATCH($A117,'5'!$C$4:$C$103,0)),""))</f>
        <v/>
      </c>
      <c r="M117" s="15">
        <f>IF($A117="",0,IFERROR(INDEX('5'!$I$4:$I$103,MATCH($A117,'5'!$C$4:$C$103,0)),0))</f>
        <v>0</v>
      </c>
      <c r="N117" s="25" t="str">
        <f t="shared" si="6"/>
        <v/>
      </c>
      <c r="O117" s="26" t="str">
        <f t="shared" si="7"/>
        <v/>
      </c>
      <c r="AA117" t="str">
        <f>IF(ISNUMBER(SEARCH("Junior",Scherpenzeel!E52)),Scherpenzeel!C52,"")</f>
        <v/>
      </c>
      <c r="AB117">
        <f>IF(AA117="",0,IF(COUNTIF($AA$1:AA117,AA117)=1,1,0))</f>
        <v>0</v>
      </c>
      <c r="AC117" t="str">
        <f>IF(AB117=1,COUNTIF($AB$1:AB117,1),"")</f>
        <v/>
      </c>
    </row>
    <row r="118" spans="1:29" x14ac:dyDescent="0.25">
      <c r="A118" s="13" t="str">
        <f>IFERROR(INDEX($AA$1:$AA$368,MATCH(115,$AC$1:$AC$368,0)),"")</f>
        <v/>
      </c>
      <c r="B118" s="13" t="str">
        <f>IF($A118="","",IF(IFERROR(INDEX(Barneveld!$E$4:$E$36,MATCH($A118,Barneveld!$C$4:$C$36,0)),"")&lt;&gt;"",IFERROR(INDEX(Barneveld!$E$4:$E$36,MATCH($A118,Barneveld!$C$4:$C$36,0)),""),IF(IFERROR(INDEX(Baarn!$F$4:$F$38,MATCH($A118,Baarn!$C$4:$C$38,0)),"")&lt;&gt;"",IFERROR(INDEX(Baarn!$F$4:$F$38,MATCH($A118,Baarn!$C$4:$C$38,0)),""),IF(IFERROR(INDEX(Scherpenzeel!$F$4:$F$103,MATCH($A118,Scherpenzeel!$C$4:$C$103,0)),"")&lt;&gt;"",IFERROR(INDEX(Scherpenzeel!$F$4:$F$103,MATCH($A118,Scherpenzeel!$C$4:$C$103,0)),""),IF(IFERROR(INDEX('4'!$F$4:$F$103,MATCH($A118,'4'!$C$4:$C$103,0)),"")&lt;&gt;"",IFERROR(INDEX('4'!$F$4:$F$103,MATCH($A118,'4'!$C$4:$C$103,0)),""),IFERROR(INDEX('5'!$F$4:$F$103,MATCH($A118,'5'!$C$4:$C$103,0)),""))))))</f>
        <v/>
      </c>
      <c r="C118" s="13" t="str">
        <f>IF($A118="","",IF(IFERROR(INDEX(Barneveld!$D$4:$D$36,MATCH($A118,Barneveld!$C$4:$C$36,0)),"")&lt;&gt;"",IFERROR(INDEX(Barneveld!$D$4:$D$36,MATCH($A118,Barneveld!$C$4:$C$36,0)),""),IF(IFERROR(INDEX(Baarn!$E$4:$E$38,MATCH($A118,Baarn!$C$4:$C$38,0)),"")&lt;&gt;"",IFERROR(INDEX(Baarn!$E$4:$E$38,MATCH($A118,Baarn!$C$4:$C$38,0)),""),IF(IFERROR(INDEX(Scherpenzeel!$E$4:$E$103,MATCH($A118,Scherpenzeel!$C$4:$C$103,0)),"")&lt;&gt;"",IFERROR(INDEX(Scherpenzeel!$E$4:$E$103,MATCH($A118,Scherpenzeel!$C$4:$C$103,0)),""),IF(IFERROR(INDEX('4'!$E$4:$E$103,MATCH($A118,'4'!$C$4:$C$103,0)),"")&lt;&gt;"",IFERROR(INDEX('4'!$E$4:$E$103,MATCH($A118,'4'!$C$4:$C$103,0)),""),IFERROR(INDEX('5'!$E$4:$E$103,MATCH($A118,'5'!$C$4:$C$103,0)),""))))))</f>
        <v/>
      </c>
      <c r="D118" s="24" t="str">
        <f>IF($A118="","",IFERROR(INDEX(Barneveld!$A$4:$A$36,MATCH($A118,Barneveld!$C$4:$C$36,0)),""))</f>
        <v/>
      </c>
      <c r="E118" s="15">
        <f>IF($A118="",0,IFERROR(INDEX(Barneveld!$H$4:$H$36,MATCH($A118,Barneveld!$C$4:$C$36,0)),0))</f>
        <v>0</v>
      </c>
      <c r="F118" s="24" t="str">
        <f>IF($A118="","",IFERROR(INDEX(Baarn!$A$4:$A$38,MATCH($A118,Baarn!$C$4:$C$38,0)),""))</f>
        <v/>
      </c>
      <c r="G118" s="15">
        <f>IF($A118="",0,IFERROR(INDEX(Baarn!$I$4:$I$38,MATCH($A118,Baarn!$C$4:$C$38,0)),0))</f>
        <v>0</v>
      </c>
      <c r="H118" s="24" t="str">
        <f>IF($A118="","",IFERROR(INDEX(Scherpenzeel!$A$4:$A$103,MATCH($A118,Scherpenzeel!$C$4:$C$103,0)),""))</f>
        <v/>
      </c>
      <c r="I118" s="15">
        <f>IF($A118="",0,IFERROR(INDEX(Scherpenzeel!$I$4:$I$103,MATCH($A118,Scherpenzeel!$C$4:$C$103,0)),0))</f>
        <v>0</v>
      </c>
      <c r="J118" s="24" t="str">
        <f>IF($A118="","",IFERROR(INDEX('4'!$A$4:$A$103,MATCH($A118,'4'!$C$4:$C$103,0)),""))</f>
        <v/>
      </c>
      <c r="K118" s="15">
        <f>IF($A118="",0,IFERROR(INDEX('4'!$I$4:$I$103,MATCH($A118,'4'!$C$4:$C$103,0)),0))</f>
        <v>0</v>
      </c>
      <c r="L118" s="24" t="str">
        <f>IF($A118="","",IFERROR(INDEX('5'!$A$4:$A$103,MATCH($A118,'5'!$C$4:$C$103,0)),""))</f>
        <v/>
      </c>
      <c r="M118" s="15">
        <f>IF($A118="",0,IFERROR(INDEX('5'!$I$4:$I$103,MATCH($A118,'5'!$C$4:$C$103,0)),0))</f>
        <v>0</v>
      </c>
      <c r="N118" s="25" t="str">
        <f t="shared" si="6"/>
        <v/>
      </c>
      <c r="O118" s="26" t="str">
        <f t="shared" si="7"/>
        <v/>
      </c>
      <c r="AA118" t="str">
        <f>IF(ISNUMBER(SEARCH("Junior",Scherpenzeel!E53)),Scherpenzeel!C53,"")</f>
        <v/>
      </c>
      <c r="AB118">
        <f>IF(AA118="",0,IF(COUNTIF($AA$1:AA118,AA118)=1,1,0))</f>
        <v>0</v>
      </c>
      <c r="AC118" t="str">
        <f>IF(AB118=1,COUNTIF($AB$1:AB118,1),"")</f>
        <v/>
      </c>
    </row>
    <row r="119" spans="1:29" x14ac:dyDescent="0.25">
      <c r="A119" s="13" t="str">
        <f>IFERROR(INDEX($AA$1:$AA$368,MATCH(116,$AC$1:$AC$368,0)),"")</f>
        <v/>
      </c>
      <c r="B119" s="13" t="str">
        <f>IF($A119="","",IF(IFERROR(INDEX(Barneveld!$E$4:$E$36,MATCH($A119,Barneveld!$C$4:$C$36,0)),"")&lt;&gt;"",IFERROR(INDEX(Barneveld!$E$4:$E$36,MATCH($A119,Barneveld!$C$4:$C$36,0)),""),IF(IFERROR(INDEX(Baarn!$F$4:$F$38,MATCH($A119,Baarn!$C$4:$C$38,0)),"")&lt;&gt;"",IFERROR(INDEX(Baarn!$F$4:$F$38,MATCH($A119,Baarn!$C$4:$C$38,0)),""),IF(IFERROR(INDEX(Scherpenzeel!$F$4:$F$103,MATCH($A119,Scherpenzeel!$C$4:$C$103,0)),"")&lt;&gt;"",IFERROR(INDEX(Scherpenzeel!$F$4:$F$103,MATCH($A119,Scherpenzeel!$C$4:$C$103,0)),""),IF(IFERROR(INDEX('4'!$F$4:$F$103,MATCH($A119,'4'!$C$4:$C$103,0)),"")&lt;&gt;"",IFERROR(INDEX('4'!$F$4:$F$103,MATCH($A119,'4'!$C$4:$C$103,0)),""),IFERROR(INDEX('5'!$F$4:$F$103,MATCH($A119,'5'!$C$4:$C$103,0)),""))))))</f>
        <v/>
      </c>
      <c r="C119" s="13" t="str">
        <f>IF($A119="","",IF(IFERROR(INDEX(Barneveld!$D$4:$D$36,MATCH($A119,Barneveld!$C$4:$C$36,0)),"")&lt;&gt;"",IFERROR(INDEX(Barneveld!$D$4:$D$36,MATCH($A119,Barneveld!$C$4:$C$36,0)),""),IF(IFERROR(INDEX(Baarn!$E$4:$E$38,MATCH($A119,Baarn!$C$4:$C$38,0)),"")&lt;&gt;"",IFERROR(INDEX(Baarn!$E$4:$E$38,MATCH($A119,Baarn!$C$4:$C$38,0)),""),IF(IFERROR(INDEX(Scherpenzeel!$E$4:$E$103,MATCH($A119,Scherpenzeel!$C$4:$C$103,0)),"")&lt;&gt;"",IFERROR(INDEX(Scherpenzeel!$E$4:$E$103,MATCH($A119,Scherpenzeel!$C$4:$C$103,0)),""),IF(IFERROR(INDEX('4'!$E$4:$E$103,MATCH($A119,'4'!$C$4:$C$103,0)),"")&lt;&gt;"",IFERROR(INDEX('4'!$E$4:$E$103,MATCH($A119,'4'!$C$4:$C$103,0)),""),IFERROR(INDEX('5'!$E$4:$E$103,MATCH($A119,'5'!$C$4:$C$103,0)),""))))))</f>
        <v/>
      </c>
      <c r="D119" s="24" t="str">
        <f>IF($A119="","",IFERROR(INDEX(Barneveld!$A$4:$A$36,MATCH($A119,Barneveld!$C$4:$C$36,0)),""))</f>
        <v/>
      </c>
      <c r="E119" s="15">
        <f>IF($A119="",0,IFERROR(INDEX(Barneveld!$H$4:$H$36,MATCH($A119,Barneveld!$C$4:$C$36,0)),0))</f>
        <v>0</v>
      </c>
      <c r="F119" s="24" t="str">
        <f>IF($A119="","",IFERROR(INDEX(Baarn!$A$4:$A$38,MATCH($A119,Baarn!$C$4:$C$38,0)),""))</f>
        <v/>
      </c>
      <c r="G119" s="15">
        <f>IF($A119="",0,IFERROR(INDEX(Baarn!$I$4:$I$38,MATCH($A119,Baarn!$C$4:$C$38,0)),0))</f>
        <v>0</v>
      </c>
      <c r="H119" s="24" t="str">
        <f>IF($A119="","",IFERROR(INDEX(Scherpenzeel!$A$4:$A$103,MATCH($A119,Scherpenzeel!$C$4:$C$103,0)),""))</f>
        <v/>
      </c>
      <c r="I119" s="15">
        <f>IF($A119="",0,IFERROR(INDEX(Scherpenzeel!$I$4:$I$103,MATCH($A119,Scherpenzeel!$C$4:$C$103,0)),0))</f>
        <v>0</v>
      </c>
      <c r="J119" s="24" t="str">
        <f>IF($A119="","",IFERROR(INDEX('4'!$A$4:$A$103,MATCH($A119,'4'!$C$4:$C$103,0)),""))</f>
        <v/>
      </c>
      <c r="K119" s="15">
        <f>IF($A119="",0,IFERROR(INDEX('4'!$I$4:$I$103,MATCH($A119,'4'!$C$4:$C$103,0)),0))</f>
        <v>0</v>
      </c>
      <c r="L119" s="24" t="str">
        <f>IF($A119="","",IFERROR(INDEX('5'!$A$4:$A$103,MATCH($A119,'5'!$C$4:$C$103,0)),""))</f>
        <v/>
      </c>
      <c r="M119" s="15">
        <f>IF($A119="",0,IFERROR(INDEX('5'!$I$4:$I$103,MATCH($A119,'5'!$C$4:$C$103,0)),0))</f>
        <v>0</v>
      </c>
      <c r="N119" s="25" t="str">
        <f t="shared" si="6"/>
        <v/>
      </c>
      <c r="O119" s="26" t="str">
        <f t="shared" si="7"/>
        <v/>
      </c>
      <c r="AA119" t="str">
        <f>IF(ISNUMBER(SEARCH("Junior",Scherpenzeel!E54)),Scherpenzeel!C54,"")</f>
        <v/>
      </c>
      <c r="AB119">
        <f>IF(AA119="",0,IF(COUNTIF($AA$1:AA119,AA119)=1,1,0))</f>
        <v>0</v>
      </c>
      <c r="AC119" t="str">
        <f>IF(AB119=1,COUNTIF($AB$1:AB119,1),"")</f>
        <v/>
      </c>
    </row>
    <row r="120" spans="1:29" x14ac:dyDescent="0.25">
      <c r="A120" s="13" t="str">
        <f>IFERROR(INDEX($AA$1:$AA$368,MATCH(117,$AC$1:$AC$368,0)),"")</f>
        <v/>
      </c>
      <c r="B120" s="13" t="str">
        <f>IF($A120="","",IF(IFERROR(INDEX(Barneveld!$E$4:$E$36,MATCH($A120,Barneveld!$C$4:$C$36,0)),"")&lt;&gt;"",IFERROR(INDEX(Barneveld!$E$4:$E$36,MATCH($A120,Barneveld!$C$4:$C$36,0)),""),IF(IFERROR(INDEX(Baarn!$F$4:$F$38,MATCH($A120,Baarn!$C$4:$C$38,0)),"")&lt;&gt;"",IFERROR(INDEX(Baarn!$F$4:$F$38,MATCH($A120,Baarn!$C$4:$C$38,0)),""),IF(IFERROR(INDEX(Scherpenzeel!$F$4:$F$103,MATCH($A120,Scherpenzeel!$C$4:$C$103,0)),"")&lt;&gt;"",IFERROR(INDEX(Scherpenzeel!$F$4:$F$103,MATCH($A120,Scherpenzeel!$C$4:$C$103,0)),""),IF(IFERROR(INDEX('4'!$F$4:$F$103,MATCH($A120,'4'!$C$4:$C$103,0)),"")&lt;&gt;"",IFERROR(INDEX('4'!$F$4:$F$103,MATCH($A120,'4'!$C$4:$C$103,0)),""),IFERROR(INDEX('5'!$F$4:$F$103,MATCH($A120,'5'!$C$4:$C$103,0)),""))))))</f>
        <v/>
      </c>
      <c r="C120" s="13" t="str">
        <f>IF($A120="","",IF(IFERROR(INDEX(Barneveld!$D$4:$D$36,MATCH($A120,Barneveld!$C$4:$C$36,0)),"")&lt;&gt;"",IFERROR(INDEX(Barneveld!$D$4:$D$36,MATCH($A120,Barneveld!$C$4:$C$36,0)),""),IF(IFERROR(INDEX(Baarn!$E$4:$E$38,MATCH($A120,Baarn!$C$4:$C$38,0)),"")&lt;&gt;"",IFERROR(INDEX(Baarn!$E$4:$E$38,MATCH($A120,Baarn!$C$4:$C$38,0)),""),IF(IFERROR(INDEX(Scherpenzeel!$E$4:$E$103,MATCH($A120,Scherpenzeel!$C$4:$C$103,0)),"")&lt;&gt;"",IFERROR(INDEX(Scherpenzeel!$E$4:$E$103,MATCH($A120,Scherpenzeel!$C$4:$C$103,0)),""),IF(IFERROR(INDEX('4'!$E$4:$E$103,MATCH($A120,'4'!$C$4:$C$103,0)),"")&lt;&gt;"",IFERROR(INDEX('4'!$E$4:$E$103,MATCH($A120,'4'!$C$4:$C$103,0)),""),IFERROR(INDEX('5'!$E$4:$E$103,MATCH($A120,'5'!$C$4:$C$103,0)),""))))))</f>
        <v/>
      </c>
      <c r="D120" s="24" t="str">
        <f>IF($A120="","",IFERROR(INDEX(Barneveld!$A$4:$A$36,MATCH($A120,Barneveld!$C$4:$C$36,0)),""))</f>
        <v/>
      </c>
      <c r="E120" s="15">
        <f>IF($A120="",0,IFERROR(INDEX(Barneveld!$H$4:$H$36,MATCH($A120,Barneveld!$C$4:$C$36,0)),0))</f>
        <v>0</v>
      </c>
      <c r="F120" s="24" t="str">
        <f>IF($A120="","",IFERROR(INDEX(Baarn!$A$4:$A$38,MATCH($A120,Baarn!$C$4:$C$38,0)),""))</f>
        <v/>
      </c>
      <c r="G120" s="15">
        <f>IF($A120="",0,IFERROR(INDEX(Baarn!$I$4:$I$38,MATCH($A120,Baarn!$C$4:$C$38,0)),0))</f>
        <v>0</v>
      </c>
      <c r="H120" s="24" t="str">
        <f>IF($A120="","",IFERROR(INDEX(Scherpenzeel!$A$4:$A$103,MATCH($A120,Scherpenzeel!$C$4:$C$103,0)),""))</f>
        <v/>
      </c>
      <c r="I120" s="15">
        <f>IF($A120="",0,IFERROR(INDEX(Scherpenzeel!$I$4:$I$103,MATCH($A120,Scherpenzeel!$C$4:$C$103,0)),0))</f>
        <v>0</v>
      </c>
      <c r="J120" s="24" t="str">
        <f>IF($A120="","",IFERROR(INDEX('4'!$A$4:$A$103,MATCH($A120,'4'!$C$4:$C$103,0)),""))</f>
        <v/>
      </c>
      <c r="K120" s="15">
        <f>IF($A120="",0,IFERROR(INDEX('4'!$I$4:$I$103,MATCH($A120,'4'!$C$4:$C$103,0)),0))</f>
        <v>0</v>
      </c>
      <c r="L120" s="24" t="str">
        <f>IF($A120="","",IFERROR(INDEX('5'!$A$4:$A$103,MATCH($A120,'5'!$C$4:$C$103,0)),""))</f>
        <v/>
      </c>
      <c r="M120" s="15">
        <f>IF($A120="",0,IFERROR(INDEX('5'!$I$4:$I$103,MATCH($A120,'5'!$C$4:$C$103,0)),0))</f>
        <v>0</v>
      </c>
      <c r="N120" s="25" t="str">
        <f t="shared" si="6"/>
        <v/>
      </c>
      <c r="O120" s="26" t="str">
        <f t="shared" si="7"/>
        <v/>
      </c>
      <c r="AA120" t="str">
        <f>IF(ISNUMBER(SEARCH("Junior",Scherpenzeel!E55)),Scherpenzeel!C55,"")</f>
        <v/>
      </c>
      <c r="AB120">
        <f>IF(AA120="",0,IF(COUNTIF($AA$1:AA120,AA120)=1,1,0))</f>
        <v>0</v>
      </c>
      <c r="AC120" t="str">
        <f>IF(AB120=1,COUNTIF($AB$1:AB120,1),"")</f>
        <v/>
      </c>
    </row>
    <row r="121" spans="1:29" x14ac:dyDescent="0.25">
      <c r="A121" s="13" t="str">
        <f>IFERROR(INDEX($AA$1:$AA$368,MATCH(118,$AC$1:$AC$368,0)),"")</f>
        <v/>
      </c>
      <c r="B121" s="13" t="str">
        <f>IF($A121="","",IF(IFERROR(INDEX(Barneveld!$E$4:$E$36,MATCH($A121,Barneveld!$C$4:$C$36,0)),"")&lt;&gt;"",IFERROR(INDEX(Barneveld!$E$4:$E$36,MATCH($A121,Barneveld!$C$4:$C$36,0)),""),IF(IFERROR(INDEX(Baarn!$F$4:$F$38,MATCH($A121,Baarn!$C$4:$C$38,0)),"")&lt;&gt;"",IFERROR(INDEX(Baarn!$F$4:$F$38,MATCH($A121,Baarn!$C$4:$C$38,0)),""),IF(IFERROR(INDEX(Scherpenzeel!$F$4:$F$103,MATCH($A121,Scherpenzeel!$C$4:$C$103,0)),"")&lt;&gt;"",IFERROR(INDEX(Scherpenzeel!$F$4:$F$103,MATCH($A121,Scherpenzeel!$C$4:$C$103,0)),""),IF(IFERROR(INDEX('4'!$F$4:$F$103,MATCH($A121,'4'!$C$4:$C$103,0)),"")&lt;&gt;"",IFERROR(INDEX('4'!$F$4:$F$103,MATCH($A121,'4'!$C$4:$C$103,0)),""),IFERROR(INDEX('5'!$F$4:$F$103,MATCH($A121,'5'!$C$4:$C$103,0)),""))))))</f>
        <v/>
      </c>
      <c r="C121" s="13" t="str">
        <f>IF($A121="","",IF(IFERROR(INDEX(Barneveld!$D$4:$D$36,MATCH($A121,Barneveld!$C$4:$C$36,0)),"")&lt;&gt;"",IFERROR(INDEX(Barneveld!$D$4:$D$36,MATCH($A121,Barneveld!$C$4:$C$36,0)),""),IF(IFERROR(INDEX(Baarn!$E$4:$E$38,MATCH($A121,Baarn!$C$4:$C$38,0)),"")&lt;&gt;"",IFERROR(INDEX(Baarn!$E$4:$E$38,MATCH($A121,Baarn!$C$4:$C$38,0)),""),IF(IFERROR(INDEX(Scherpenzeel!$E$4:$E$103,MATCH($A121,Scherpenzeel!$C$4:$C$103,0)),"")&lt;&gt;"",IFERROR(INDEX(Scherpenzeel!$E$4:$E$103,MATCH($A121,Scherpenzeel!$C$4:$C$103,0)),""),IF(IFERROR(INDEX('4'!$E$4:$E$103,MATCH($A121,'4'!$C$4:$C$103,0)),"")&lt;&gt;"",IFERROR(INDEX('4'!$E$4:$E$103,MATCH($A121,'4'!$C$4:$C$103,0)),""),IFERROR(INDEX('5'!$E$4:$E$103,MATCH($A121,'5'!$C$4:$C$103,0)),""))))))</f>
        <v/>
      </c>
      <c r="D121" s="24" t="str">
        <f>IF($A121="","",IFERROR(INDEX(Barneveld!$A$4:$A$36,MATCH($A121,Barneveld!$C$4:$C$36,0)),""))</f>
        <v/>
      </c>
      <c r="E121" s="15">
        <f>IF($A121="",0,IFERROR(INDEX(Barneveld!$H$4:$H$36,MATCH($A121,Barneveld!$C$4:$C$36,0)),0))</f>
        <v>0</v>
      </c>
      <c r="F121" s="24" t="str">
        <f>IF($A121="","",IFERROR(INDEX(Baarn!$A$4:$A$38,MATCH($A121,Baarn!$C$4:$C$38,0)),""))</f>
        <v/>
      </c>
      <c r="G121" s="15">
        <f>IF($A121="",0,IFERROR(INDEX(Baarn!$I$4:$I$38,MATCH($A121,Baarn!$C$4:$C$38,0)),0))</f>
        <v>0</v>
      </c>
      <c r="H121" s="24" t="str">
        <f>IF($A121="","",IFERROR(INDEX(Scherpenzeel!$A$4:$A$103,MATCH($A121,Scherpenzeel!$C$4:$C$103,0)),""))</f>
        <v/>
      </c>
      <c r="I121" s="15">
        <f>IF($A121="",0,IFERROR(INDEX(Scherpenzeel!$I$4:$I$103,MATCH($A121,Scherpenzeel!$C$4:$C$103,0)),0))</f>
        <v>0</v>
      </c>
      <c r="J121" s="24" t="str">
        <f>IF($A121="","",IFERROR(INDEX('4'!$A$4:$A$103,MATCH($A121,'4'!$C$4:$C$103,0)),""))</f>
        <v/>
      </c>
      <c r="K121" s="15">
        <f>IF($A121="",0,IFERROR(INDEX('4'!$I$4:$I$103,MATCH($A121,'4'!$C$4:$C$103,0)),0))</f>
        <v>0</v>
      </c>
      <c r="L121" s="24" t="str">
        <f>IF($A121="","",IFERROR(INDEX('5'!$A$4:$A$103,MATCH($A121,'5'!$C$4:$C$103,0)),""))</f>
        <v/>
      </c>
      <c r="M121" s="15">
        <f>IF($A121="",0,IFERROR(INDEX('5'!$I$4:$I$103,MATCH($A121,'5'!$C$4:$C$103,0)),0))</f>
        <v>0</v>
      </c>
      <c r="N121" s="25" t="str">
        <f t="shared" si="6"/>
        <v/>
      </c>
      <c r="O121" s="26" t="str">
        <f t="shared" si="7"/>
        <v/>
      </c>
      <c r="AA121" t="str">
        <f>IF(ISNUMBER(SEARCH("Junior",Scherpenzeel!E56)),Scherpenzeel!C56,"")</f>
        <v/>
      </c>
      <c r="AB121">
        <f>IF(AA121="",0,IF(COUNTIF($AA$1:AA121,AA121)=1,1,0))</f>
        <v>0</v>
      </c>
      <c r="AC121" t="str">
        <f>IF(AB121=1,COUNTIF($AB$1:AB121,1),"")</f>
        <v/>
      </c>
    </row>
    <row r="122" spans="1:29" x14ac:dyDescent="0.25">
      <c r="A122" s="13" t="str">
        <f>IFERROR(INDEX($AA$1:$AA$368,MATCH(119,$AC$1:$AC$368,0)),"")</f>
        <v/>
      </c>
      <c r="B122" s="13" t="str">
        <f>IF($A122="","",IF(IFERROR(INDEX(Barneveld!$E$4:$E$36,MATCH($A122,Barneveld!$C$4:$C$36,0)),"")&lt;&gt;"",IFERROR(INDEX(Barneveld!$E$4:$E$36,MATCH($A122,Barneveld!$C$4:$C$36,0)),""),IF(IFERROR(INDEX(Baarn!$F$4:$F$38,MATCH($A122,Baarn!$C$4:$C$38,0)),"")&lt;&gt;"",IFERROR(INDEX(Baarn!$F$4:$F$38,MATCH($A122,Baarn!$C$4:$C$38,0)),""),IF(IFERROR(INDEX(Scherpenzeel!$F$4:$F$103,MATCH($A122,Scherpenzeel!$C$4:$C$103,0)),"")&lt;&gt;"",IFERROR(INDEX(Scherpenzeel!$F$4:$F$103,MATCH($A122,Scherpenzeel!$C$4:$C$103,0)),""),IF(IFERROR(INDEX('4'!$F$4:$F$103,MATCH($A122,'4'!$C$4:$C$103,0)),"")&lt;&gt;"",IFERROR(INDEX('4'!$F$4:$F$103,MATCH($A122,'4'!$C$4:$C$103,0)),""),IFERROR(INDEX('5'!$F$4:$F$103,MATCH($A122,'5'!$C$4:$C$103,0)),""))))))</f>
        <v/>
      </c>
      <c r="C122" s="13" t="str">
        <f>IF($A122="","",IF(IFERROR(INDEX(Barneveld!$D$4:$D$36,MATCH($A122,Barneveld!$C$4:$C$36,0)),"")&lt;&gt;"",IFERROR(INDEX(Barneveld!$D$4:$D$36,MATCH($A122,Barneveld!$C$4:$C$36,0)),""),IF(IFERROR(INDEX(Baarn!$E$4:$E$38,MATCH($A122,Baarn!$C$4:$C$38,0)),"")&lt;&gt;"",IFERROR(INDEX(Baarn!$E$4:$E$38,MATCH($A122,Baarn!$C$4:$C$38,0)),""),IF(IFERROR(INDEX(Scherpenzeel!$E$4:$E$103,MATCH($A122,Scherpenzeel!$C$4:$C$103,0)),"")&lt;&gt;"",IFERROR(INDEX(Scherpenzeel!$E$4:$E$103,MATCH($A122,Scherpenzeel!$C$4:$C$103,0)),""),IF(IFERROR(INDEX('4'!$E$4:$E$103,MATCH($A122,'4'!$C$4:$C$103,0)),"")&lt;&gt;"",IFERROR(INDEX('4'!$E$4:$E$103,MATCH($A122,'4'!$C$4:$C$103,0)),""),IFERROR(INDEX('5'!$E$4:$E$103,MATCH($A122,'5'!$C$4:$C$103,0)),""))))))</f>
        <v/>
      </c>
      <c r="D122" s="24" t="str">
        <f>IF($A122="","",IFERROR(INDEX(Barneveld!$A$4:$A$36,MATCH($A122,Barneveld!$C$4:$C$36,0)),""))</f>
        <v/>
      </c>
      <c r="E122" s="15">
        <f>IF($A122="",0,IFERROR(INDEX(Barneveld!$H$4:$H$36,MATCH($A122,Barneveld!$C$4:$C$36,0)),0))</f>
        <v>0</v>
      </c>
      <c r="F122" s="24" t="str">
        <f>IF($A122="","",IFERROR(INDEX(Baarn!$A$4:$A$38,MATCH($A122,Baarn!$C$4:$C$38,0)),""))</f>
        <v/>
      </c>
      <c r="G122" s="15">
        <f>IF($A122="",0,IFERROR(INDEX(Baarn!$I$4:$I$38,MATCH($A122,Baarn!$C$4:$C$38,0)),0))</f>
        <v>0</v>
      </c>
      <c r="H122" s="24" t="str">
        <f>IF($A122="","",IFERROR(INDEX(Scherpenzeel!$A$4:$A$103,MATCH($A122,Scherpenzeel!$C$4:$C$103,0)),""))</f>
        <v/>
      </c>
      <c r="I122" s="15">
        <f>IF($A122="",0,IFERROR(INDEX(Scherpenzeel!$I$4:$I$103,MATCH($A122,Scherpenzeel!$C$4:$C$103,0)),0))</f>
        <v>0</v>
      </c>
      <c r="J122" s="24" t="str">
        <f>IF($A122="","",IFERROR(INDEX('4'!$A$4:$A$103,MATCH($A122,'4'!$C$4:$C$103,0)),""))</f>
        <v/>
      </c>
      <c r="K122" s="15">
        <f>IF($A122="",0,IFERROR(INDEX('4'!$I$4:$I$103,MATCH($A122,'4'!$C$4:$C$103,0)),0))</f>
        <v>0</v>
      </c>
      <c r="L122" s="24" t="str">
        <f>IF($A122="","",IFERROR(INDEX('5'!$A$4:$A$103,MATCH($A122,'5'!$C$4:$C$103,0)),""))</f>
        <v/>
      </c>
      <c r="M122" s="15">
        <f>IF($A122="",0,IFERROR(INDEX('5'!$I$4:$I$103,MATCH($A122,'5'!$C$4:$C$103,0)),0))</f>
        <v>0</v>
      </c>
      <c r="N122" s="25" t="str">
        <f t="shared" si="6"/>
        <v/>
      </c>
      <c r="O122" s="26" t="str">
        <f t="shared" si="7"/>
        <v/>
      </c>
      <c r="AA122" t="str">
        <f>IF(ISNUMBER(SEARCH("Junior",Scherpenzeel!E57)),Scherpenzeel!C57,"")</f>
        <v/>
      </c>
      <c r="AB122">
        <f>IF(AA122="",0,IF(COUNTIF($AA$1:AA122,AA122)=1,1,0))</f>
        <v>0</v>
      </c>
      <c r="AC122" t="str">
        <f>IF(AB122=1,COUNTIF($AB$1:AB122,1),"")</f>
        <v/>
      </c>
    </row>
    <row r="123" spans="1:29" x14ac:dyDescent="0.25">
      <c r="A123" s="13" t="str">
        <f>IFERROR(INDEX($AA$1:$AA$368,MATCH(120,$AC$1:$AC$368,0)),"")</f>
        <v/>
      </c>
      <c r="B123" s="13" t="str">
        <f>IF($A123="","",IF(IFERROR(INDEX(Barneveld!$E$4:$E$36,MATCH($A123,Barneveld!$C$4:$C$36,0)),"")&lt;&gt;"",IFERROR(INDEX(Barneveld!$E$4:$E$36,MATCH($A123,Barneveld!$C$4:$C$36,0)),""),IF(IFERROR(INDEX(Baarn!$F$4:$F$38,MATCH($A123,Baarn!$C$4:$C$38,0)),"")&lt;&gt;"",IFERROR(INDEX(Baarn!$F$4:$F$38,MATCH($A123,Baarn!$C$4:$C$38,0)),""),IF(IFERROR(INDEX(Scherpenzeel!$F$4:$F$103,MATCH($A123,Scherpenzeel!$C$4:$C$103,0)),"")&lt;&gt;"",IFERROR(INDEX(Scherpenzeel!$F$4:$F$103,MATCH($A123,Scherpenzeel!$C$4:$C$103,0)),""),IF(IFERROR(INDEX('4'!$F$4:$F$103,MATCH($A123,'4'!$C$4:$C$103,0)),"")&lt;&gt;"",IFERROR(INDEX('4'!$F$4:$F$103,MATCH($A123,'4'!$C$4:$C$103,0)),""),IFERROR(INDEX('5'!$F$4:$F$103,MATCH($A123,'5'!$C$4:$C$103,0)),""))))))</f>
        <v/>
      </c>
      <c r="C123" s="13" t="str">
        <f>IF($A123="","",IF(IFERROR(INDEX(Barneveld!$D$4:$D$36,MATCH($A123,Barneveld!$C$4:$C$36,0)),"")&lt;&gt;"",IFERROR(INDEX(Barneveld!$D$4:$D$36,MATCH($A123,Barneveld!$C$4:$C$36,0)),""),IF(IFERROR(INDEX(Baarn!$E$4:$E$38,MATCH($A123,Baarn!$C$4:$C$38,0)),"")&lt;&gt;"",IFERROR(INDEX(Baarn!$E$4:$E$38,MATCH($A123,Baarn!$C$4:$C$38,0)),""),IF(IFERROR(INDEX(Scherpenzeel!$E$4:$E$103,MATCH($A123,Scherpenzeel!$C$4:$C$103,0)),"")&lt;&gt;"",IFERROR(INDEX(Scherpenzeel!$E$4:$E$103,MATCH($A123,Scherpenzeel!$C$4:$C$103,0)),""),IF(IFERROR(INDEX('4'!$E$4:$E$103,MATCH($A123,'4'!$C$4:$C$103,0)),"")&lt;&gt;"",IFERROR(INDEX('4'!$E$4:$E$103,MATCH($A123,'4'!$C$4:$C$103,0)),""),IFERROR(INDEX('5'!$E$4:$E$103,MATCH($A123,'5'!$C$4:$C$103,0)),""))))))</f>
        <v/>
      </c>
      <c r="D123" s="24" t="str">
        <f>IF($A123="","",IFERROR(INDEX(Barneveld!$A$4:$A$36,MATCH($A123,Barneveld!$C$4:$C$36,0)),""))</f>
        <v/>
      </c>
      <c r="E123" s="15">
        <f>IF($A123="",0,IFERROR(INDEX(Barneveld!$H$4:$H$36,MATCH($A123,Barneveld!$C$4:$C$36,0)),0))</f>
        <v>0</v>
      </c>
      <c r="F123" s="24" t="str">
        <f>IF($A123="","",IFERROR(INDEX(Baarn!$A$4:$A$38,MATCH($A123,Baarn!$C$4:$C$38,0)),""))</f>
        <v/>
      </c>
      <c r="G123" s="15">
        <f>IF($A123="",0,IFERROR(INDEX(Baarn!$I$4:$I$38,MATCH($A123,Baarn!$C$4:$C$38,0)),0))</f>
        <v>0</v>
      </c>
      <c r="H123" s="24" t="str">
        <f>IF($A123="","",IFERROR(INDEX(Scherpenzeel!$A$4:$A$103,MATCH($A123,Scherpenzeel!$C$4:$C$103,0)),""))</f>
        <v/>
      </c>
      <c r="I123" s="15">
        <f>IF($A123="",0,IFERROR(INDEX(Scherpenzeel!$I$4:$I$103,MATCH($A123,Scherpenzeel!$C$4:$C$103,0)),0))</f>
        <v>0</v>
      </c>
      <c r="J123" s="24" t="str">
        <f>IF($A123="","",IFERROR(INDEX('4'!$A$4:$A$103,MATCH($A123,'4'!$C$4:$C$103,0)),""))</f>
        <v/>
      </c>
      <c r="K123" s="15">
        <f>IF($A123="",0,IFERROR(INDEX('4'!$I$4:$I$103,MATCH($A123,'4'!$C$4:$C$103,0)),0))</f>
        <v>0</v>
      </c>
      <c r="L123" s="24" t="str">
        <f>IF($A123="","",IFERROR(INDEX('5'!$A$4:$A$103,MATCH($A123,'5'!$C$4:$C$103,0)),""))</f>
        <v/>
      </c>
      <c r="M123" s="15">
        <f>IF($A123="",0,IFERROR(INDEX('5'!$I$4:$I$103,MATCH($A123,'5'!$C$4:$C$103,0)),0))</f>
        <v>0</v>
      </c>
      <c r="N123" s="25" t="str">
        <f t="shared" si="6"/>
        <v/>
      </c>
      <c r="O123" s="26" t="str">
        <f t="shared" si="7"/>
        <v/>
      </c>
      <c r="AA123" t="str">
        <f>IF(ISNUMBER(SEARCH("Junior",Scherpenzeel!E58)),Scherpenzeel!C58,"")</f>
        <v/>
      </c>
      <c r="AB123">
        <f>IF(AA123="",0,IF(COUNTIF($AA$1:AA123,AA123)=1,1,0))</f>
        <v>0</v>
      </c>
      <c r="AC123" t="str">
        <f>IF(AB123=1,COUNTIF($AB$1:AB123,1),"")</f>
        <v/>
      </c>
    </row>
    <row r="124" spans="1:29" x14ac:dyDescent="0.25">
      <c r="A124" s="13" t="str">
        <f>IFERROR(INDEX($AA$1:$AA$368,MATCH(121,$AC$1:$AC$368,0)),"")</f>
        <v/>
      </c>
      <c r="B124" s="13" t="str">
        <f>IF($A124="","",IF(IFERROR(INDEX(Barneveld!$E$4:$E$36,MATCH($A124,Barneveld!$C$4:$C$36,0)),"")&lt;&gt;"",IFERROR(INDEX(Barneveld!$E$4:$E$36,MATCH($A124,Barneveld!$C$4:$C$36,0)),""),IF(IFERROR(INDEX(Baarn!$F$4:$F$38,MATCH($A124,Baarn!$C$4:$C$38,0)),"")&lt;&gt;"",IFERROR(INDEX(Baarn!$F$4:$F$38,MATCH($A124,Baarn!$C$4:$C$38,0)),""),IF(IFERROR(INDEX(Scherpenzeel!$F$4:$F$103,MATCH($A124,Scherpenzeel!$C$4:$C$103,0)),"")&lt;&gt;"",IFERROR(INDEX(Scherpenzeel!$F$4:$F$103,MATCH($A124,Scherpenzeel!$C$4:$C$103,0)),""),IF(IFERROR(INDEX('4'!$F$4:$F$103,MATCH($A124,'4'!$C$4:$C$103,0)),"")&lt;&gt;"",IFERROR(INDEX('4'!$F$4:$F$103,MATCH($A124,'4'!$C$4:$C$103,0)),""),IFERROR(INDEX('5'!$F$4:$F$103,MATCH($A124,'5'!$C$4:$C$103,0)),""))))))</f>
        <v/>
      </c>
      <c r="C124" s="13" t="str">
        <f>IF($A124="","",IF(IFERROR(INDEX(Barneveld!$D$4:$D$36,MATCH($A124,Barneveld!$C$4:$C$36,0)),"")&lt;&gt;"",IFERROR(INDEX(Barneveld!$D$4:$D$36,MATCH($A124,Barneveld!$C$4:$C$36,0)),""),IF(IFERROR(INDEX(Baarn!$E$4:$E$38,MATCH($A124,Baarn!$C$4:$C$38,0)),"")&lt;&gt;"",IFERROR(INDEX(Baarn!$E$4:$E$38,MATCH($A124,Baarn!$C$4:$C$38,0)),""),IF(IFERROR(INDEX(Scherpenzeel!$E$4:$E$103,MATCH($A124,Scherpenzeel!$C$4:$C$103,0)),"")&lt;&gt;"",IFERROR(INDEX(Scherpenzeel!$E$4:$E$103,MATCH($A124,Scherpenzeel!$C$4:$C$103,0)),""),IF(IFERROR(INDEX('4'!$E$4:$E$103,MATCH($A124,'4'!$C$4:$C$103,0)),"")&lt;&gt;"",IFERROR(INDEX('4'!$E$4:$E$103,MATCH($A124,'4'!$C$4:$C$103,0)),""),IFERROR(INDEX('5'!$E$4:$E$103,MATCH($A124,'5'!$C$4:$C$103,0)),""))))))</f>
        <v/>
      </c>
      <c r="D124" s="24" t="str">
        <f>IF($A124="","",IFERROR(INDEX(Barneveld!$A$4:$A$36,MATCH($A124,Barneveld!$C$4:$C$36,0)),""))</f>
        <v/>
      </c>
      <c r="E124" s="15">
        <f>IF($A124="",0,IFERROR(INDEX(Barneveld!$H$4:$H$36,MATCH($A124,Barneveld!$C$4:$C$36,0)),0))</f>
        <v>0</v>
      </c>
      <c r="F124" s="24" t="str">
        <f>IF($A124="","",IFERROR(INDEX(Baarn!$A$4:$A$38,MATCH($A124,Baarn!$C$4:$C$38,0)),""))</f>
        <v/>
      </c>
      <c r="G124" s="15">
        <f>IF($A124="",0,IFERROR(INDEX(Baarn!$I$4:$I$38,MATCH($A124,Baarn!$C$4:$C$38,0)),0))</f>
        <v>0</v>
      </c>
      <c r="H124" s="24" t="str">
        <f>IF($A124="","",IFERROR(INDEX(Scherpenzeel!$A$4:$A$103,MATCH($A124,Scherpenzeel!$C$4:$C$103,0)),""))</f>
        <v/>
      </c>
      <c r="I124" s="15">
        <f>IF($A124="",0,IFERROR(INDEX(Scherpenzeel!$I$4:$I$103,MATCH($A124,Scherpenzeel!$C$4:$C$103,0)),0))</f>
        <v>0</v>
      </c>
      <c r="J124" s="24" t="str">
        <f>IF($A124="","",IFERROR(INDEX('4'!$A$4:$A$103,MATCH($A124,'4'!$C$4:$C$103,0)),""))</f>
        <v/>
      </c>
      <c r="K124" s="15">
        <f>IF($A124="",0,IFERROR(INDEX('4'!$I$4:$I$103,MATCH($A124,'4'!$C$4:$C$103,0)),0))</f>
        <v>0</v>
      </c>
      <c r="L124" s="24" t="str">
        <f>IF($A124="","",IFERROR(INDEX('5'!$A$4:$A$103,MATCH($A124,'5'!$C$4:$C$103,0)),""))</f>
        <v/>
      </c>
      <c r="M124" s="15">
        <f>IF($A124="",0,IFERROR(INDEX('5'!$I$4:$I$103,MATCH($A124,'5'!$C$4:$C$103,0)),0))</f>
        <v>0</v>
      </c>
      <c r="N124" s="25" t="str">
        <f t="shared" si="6"/>
        <v/>
      </c>
      <c r="O124" s="26" t="str">
        <f t="shared" si="7"/>
        <v/>
      </c>
      <c r="AA124" t="str">
        <f>IF(ISNUMBER(SEARCH("Junior",Scherpenzeel!E59)),Scherpenzeel!C59,"")</f>
        <v/>
      </c>
      <c r="AB124">
        <f>IF(AA124="",0,IF(COUNTIF($AA$1:AA124,AA124)=1,1,0))</f>
        <v>0</v>
      </c>
      <c r="AC124" t="str">
        <f>IF(AB124=1,COUNTIF($AB$1:AB124,1),"")</f>
        <v/>
      </c>
    </row>
    <row r="125" spans="1:29" x14ac:dyDescent="0.25">
      <c r="A125" s="13" t="str">
        <f>IFERROR(INDEX($AA$1:$AA$368,MATCH(122,$AC$1:$AC$368,0)),"")</f>
        <v/>
      </c>
      <c r="B125" s="13" t="str">
        <f>IF($A125="","",IF(IFERROR(INDEX(Barneveld!$E$4:$E$36,MATCH($A125,Barneveld!$C$4:$C$36,0)),"")&lt;&gt;"",IFERROR(INDEX(Barneveld!$E$4:$E$36,MATCH($A125,Barneveld!$C$4:$C$36,0)),""),IF(IFERROR(INDEX(Baarn!$F$4:$F$38,MATCH($A125,Baarn!$C$4:$C$38,0)),"")&lt;&gt;"",IFERROR(INDEX(Baarn!$F$4:$F$38,MATCH($A125,Baarn!$C$4:$C$38,0)),""),IF(IFERROR(INDEX(Scherpenzeel!$F$4:$F$103,MATCH($A125,Scherpenzeel!$C$4:$C$103,0)),"")&lt;&gt;"",IFERROR(INDEX(Scherpenzeel!$F$4:$F$103,MATCH($A125,Scherpenzeel!$C$4:$C$103,0)),""),IF(IFERROR(INDEX('4'!$F$4:$F$103,MATCH($A125,'4'!$C$4:$C$103,0)),"")&lt;&gt;"",IFERROR(INDEX('4'!$F$4:$F$103,MATCH($A125,'4'!$C$4:$C$103,0)),""),IFERROR(INDEX('5'!$F$4:$F$103,MATCH($A125,'5'!$C$4:$C$103,0)),""))))))</f>
        <v/>
      </c>
      <c r="C125" s="13" t="str">
        <f>IF($A125="","",IF(IFERROR(INDEX(Barneveld!$D$4:$D$36,MATCH($A125,Barneveld!$C$4:$C$36,0)),"")&lt;&gt;"",IFERROR(INDEX(Barneveld!$D$4:$D$36,MATCH($A125,Barneveld!$C$4:$C$36,0)),""),IF(IFERROR(INDEX(Baarn!$E$4:$E$38,MATCH($A125,Baarn!$C$4:$C$38,0)),"")&lt;&gt;"",IFERROR(INDEX(Baarn!$E$4:$E$38,MATCH($A125,Baarn!$C$4:$C$38,0)),""),IF(IFERROR(INDEX(Scherpenzeel!$E$4:$E$103,MATCH($A125,Scherpenzeel!$C$4:$C$103,0)),"")&lt;&gt;"",IFERROR(INDEX(Scherpenzeel!$E$4:$E$103,MATCH($A125,Scherpenzeel!$C$4:$C$103,0)),""),IF(IFERROR(INDEX('4'!$E$4:$E$103,MATCH($A125,'4'!$C$4:$C$103,0)),"")&lt;&gt;"",IFERROR(INDEX('4'!$E$4:$E$103,MATCH($A125,'4'!$C$4:$C$103,0)),""),IFERROR(INDEX('5'!$E$4:$E$103,MATCH($A125,'5'!$C$4:$C$103,0)),""))))))</f>
        <v/>
      </c>
      <c r="D125" s="24" t="str">
        <f>IF($A125="","",IFERROR(INDEX(Barneveld!$A$4:$A$36,MATCH($A125,Barneveld!$C$4:$C$36,0)),""))</f>
        <v/>
      </c>
      <c r="E125" s="15">
        <f>IF($A125="",0,IFERROR(INDEX(Barneveld!$H$4:$H$36,MATCH($A125,Barneveld!$C$4:$C$36,0)),0))</f>
        <v>0</v>
      </c>
      <c r="F125" s="24" t="str">
        <f>IF($A125="","",IFERROR(INDEX(Baarn!$A$4:$A$38,MATCH($A125,Baarn!$C$4:$C$38,0)),""))</f>
        <v/>
      </c>
      <c r="G125" s="15">
        <f>IF($A125="",0,IFERROR(INDEX(Baarn!$I$4:$I$38,MATCH($A125,Baarn!$C$4:$C$38,0)),0))</f>
        <v>0</v>
      </c>
      <c r="H125" s="24" t="str">
        <f>IF($A125="","",IFERROR(INDEX(Scherpenzeel!$A$4:$A$103,MATCH($A125,Scherpenzeel!$C$4:$C$103,0)),""))</f>
        <v/>
      </c>
      <c r="I125" s="15">
        <f>IF($A125="",0,IFERROR(INDEX(Scherpenzeel!$I$4:$I$103,MATCH($A125,Scherpenzeel!$C$4:$C$103,0)),0))</f>
        <v>0</v>
      </c>
      <c r="J125" s="24" t="str">
        <f>IF($A125="","",IFERROR(INDEX('4'!$A$4:$A$103,MATCH($A125,'4'!$C$4:$C$103,0)),""))</f>
        <v/>
      </c>
      <c r="K125" s="15">
        <f>IF($A125="",0,IFERROR(INDEX('4'!$I$4:$I$103,MATCH($A125,'4'!$C$4:$C$103,0)),0))</f>
        <v>0</v>
      </c>
      <c r="L125" s="24" t="str">
        <f>IF($A125="","",IFERROR(INDEX('5'!$A$4:$A$103,MATCH($A125,'5'!$C$4:$C$103,0)),""))</f>
        <v/>
      </c>
      <c r="M125" s="15">
        <f>IF($A125="",0,IFERROR(INDEX('5'!$I$4:$I$103,MATCH($A125,'5'!$C$4:$C$103,0)),0))</f>
        <v>0</v>
      </c>
      <c r="N125" s="25" t="str">
        <f t="shared" si="6"/>
        <v/>
      </c>
      <c r="O125" s="26" t="str">
        <f t="shared" si="7"/>
        <v/>
      </c>
      <c r="AA125" t="str">
        <f>IF(ISNUMBER(SEARCH("Junior",Scherpenzeel!E60)),Scherpenzeel!C60,"")</f>
        <v/>
      </c>
      <c r="AB125">
        <f>IF(AA125="",0,IF(COUNTIF($AA$1:AA125,AA125)=1,1,0))</f>
        <v>0</v>
      </c>
      <c r="AC125" t="str">
        <f>IF(AB125=1,COUNTIF($AB$1:AB125,1),"")</f>
        <v/>
      </c>
    </row>
    <row r="126" spans="1:29" x14ac:dyDescent="0.25">
      <c r="A126" s="13" t="str">
        <f>IFERROR(INDEX($AA$1:$AA$368,MATCH(123,$AC$1:$AC$368,0)),"")</f>
        <v/>
      </c>
      <c r="B126" s="13" t="str">
        <f>IF($A126="","",IF(IFERROR(INDEX(Barneveld!$E$4:$E$36,MATCH($A126,Barneveld!$C$4:$C$36,0)),"")&lt;&gt;"",IFERROR(INDEX(Barneveld!$E$4:$E$36,MATCH($A126,Barneveld!$C$4:$C$36,0)),""),IF(IFERROR(INDEX(Baarn!$F$4:$F$38,MATCH($A126,Baarn!$C$4:$C$38,0)),"")&lt;&gt;"",IFERROR(INDEX(Baarn!$F$4:$F$38,MATCH($A126,Baarn!$C$4:$C$38,0)),""),IF(IFERROR(INDEX(Scherpenzeel!$F$4:$F$103,MATCH($A126,Scherpenzeel!$C$4:$C$103,0)),"")&lt;&gt;"",IFERROR(INDEX(Scherpenzeel!$F$4:$F$103,MATCH($A126,Scherpenzeel!$C$4:$C$103,0)),""),IF(IFERROR(INDEX('4'!$F$4:$F$103,MATCH($A126,'4'!$C$4:$C$103,0)),"")&lt;&gt;"",IFERROR(INDEX('4'!$F$4:$F$103,MATCH($A126,'4'!$C$4:$C$103,0)),""),IFERROR(INDEX('5'!$F$4:$F$103,MATCH($A126,'5'!$C$4:$C$103,0)),""))))))</f>
        <v/>
      </c>
      <c r="C126" s="13" t="str">
        <f>IF($A126="","",IF(IFERROR(INDEX(Barneveld!$D$4:$D$36,MATCH($A126,Barneveld!$C$4:$C$36,0)),"")&lt;&gt;"",IFERROR(INDEX(Barneveld!$D$4:$D$36,MATCH($A126,Barneveld!$C$4:$C$36,0)),""),IF(IFERROR(INDEX(Baarn!$E$4:$E$38,MATCH($A126,Baarn!$C$4:$C$38,0)),"")&lt;&gt;"",IFERROR(INDEX(Baarn!$E$4:$E$38,MATCH($A126,Baarn!$C$4:$C$38,0)),""),IF(IFERROR(INDEX(Scherpenzeel!$E$4:$E$103,MATCH($A126,Scherpenzeel!$C$4:$C$103,0)),"")&lt;&gt;"",IFERROR(INDEX(Scherpenzeel!$E$4:$E$103,MATCH($A126,Scherpenzeel!$C$4:$C$103,0)),""),IF(IFERROR(INDEX('4'!$E$4:$E$103,MATCH($A126,'4'!$C$4:$C$103,0)),"")&lt;&gt;"",IFERROR(INDEX('4'!$E$4:$E$103,MATCH($A126,'4'!$C$4:$C$103,0)),""),IFERROR(INDEX('5'!$E$4:$E$103,MATCH($A126,'5'!$C$4:$C$103,0)),""))))))</f>
        <v/>
      </c>
      <c r="D126" s="24" t="str">
        <f>IF($A126="","",IFERROR(INDEX(Barneveld!$A$4:$A$36,MATCH($A126,Barneveld!$C$4:$C$36,0)),""))</f>
        <v/>
      </c>
      <c r="E126" s="15">
        <f>IF($A126="",0,IFERROR(INDEX(Barneveld!$H$4:$H$36,MATCH($A126,Barneveld!$C$4:$C$36,0)),0))</f>
        <v>0</v>
      </c>
      <c r="F126" s="24" t="str">
        <f>IF($A126="","",IFERROR(INDEX(Baarn!$A$4:$A$38,MATCH($A126,Baarn!$C$4:$C$38,0)),""))</f>
        <v/>
      </c>
      <c r="G126" s="15">
        <f>IF($A126="",0,IFERROR(INDEX(Baarn!$I$4:$I$38,MATCH($A126,Baarn!$C$4:$C$38,0)),0))</f>
        <v>0</v>
      </c>
      <c r="H126" s="24" t="str">
        <f>IF($A126="","",IFERROR(INDEX(Scherpenzeel!$A$4:$A$103,MATCH($A126,Scherpenzeel!$C$4:$C$103,0)),""))</f>
        <v/>
      </c>
      <c r="I126" s="15">
        <f>IF($A126="",0,IFERROR(INDEX(Scherpenzeel!$I$4:$I$103,MATCH($A126,Scherpenzeel!$C$4:$C$103,0)),0))</f>
        <v>0</v>
      </c>
      <c r="J126" s="24" t="str">
        <f>IF($A126="","",IFERROR(INDEX('4'!$A$4:$A$103,MATCH($A126,'4'!$C$4:$C$103,0)),""))</f>
        <v/>
      </c>
      <c r="K126" s="15">
        <f>IF($A126="",0,IFERROR(INDEX('4'!$I$4:$I$103,MATCH($A126,'4'!$C$4:$C$103,0)),0))</f>
        <v>0</v>
      </c>
      <c r="L126" s="24" t="str">
        <f>IF($A126="","",IFERROR(INDEX('5'!$A$4:$A$103,MATCH($A126,'5'!$C$4:$C$103,0)),""))</f>
        <v/>
      </c>
      <c r="M126" s="15">
        <f>IF($A126="",0,IFERROR(INDEX('5'!$I$4:$I$103,MATCH($A126,'5'!$C$4:$C$103,0)),0))</f>
        <v>0</v>
      </c>
      <c r="N126" s="25" t="str">
        <f t="shared" si="6"/>
        <v/>
      </c>
      <c r="O126" s="26" t="str">
        <f t="shared" si="7"/>
        <v/>
      </c>
      <c r="AA126" t="str">
        <f>IF(ISNUMBER(SEARCH("Junior",Scherpenzeel!E61)),Scherpenzeel!C61,"")</f>
        <v/>
      </c>
      <c r="AB126">
        <f>IF(AA126="",0,IF(COUNTIF($AA$1:AA126,AA126)=1,1,0))</f>
        <v>0</v>
      </c>
      <c r="AC126" t="str">
        <f>IF(AB126=1,COUNTIF($AB$1:AB126,1),"")</f>
        <v/>
      </c>
    </row>
    <row r="127" spans="1:29" x14ac:dyDescent="0.25">
      <c r="A127" s="13" t="str">
        <f>IFERROR(INDEX($AA$1:$AA$368,MATCH(124,$AC$1:$AC$368,0)),"")</f>
        <v/>
      </c>
      <c r="B127" s="13" t="str">
        <f>IF($A127="","",IF(IFERROR(INDEX(Barneveld!$E$4:$E$36,MATCH($A127,Barneveld!$C$4:$C$36,0)),"")&lt;&gt;"",IFERROR(INDEX(Barneveld!$E$4:$E$36,MATCH($A127,Barneveld!$C$4:$C$36,0)),""),IF(IFERROR(INDEX(Baarn!$F$4:$F$38,MATCH($A127,Baarn!$C$4:$C$38,0)),"")&lt;&gt;"",IFERROR(INDEX(Baarn!$F$4:$F$38,MATCH($A127,Baarn!$C$4:$C$38,0)),""),IF(IFERROR(INDEX(Scherpenzeel!$F$4:$F$103,MATCH($A127,Scherpenzeel!$C$4:$C$103,0)),"")&lt;&gt;"",IFERROR(INDEX(Scherpenzeel!$F$4:$F$103,MATCH($A127,Scherpenzeel!$C$4:$C$103,0)),""),IF(IFERROR(INDEX('4'!$F$4:$F$103,MATCH($A127,'4'!$C$4:$C$103,0)),"")&lt;&gt;"",IFERROR(INDEX('4'!$F$4:$F$103,MATCH($A127,'4'!$C$4:$C$103,0)),""),IFERROR(INDEX('5'!$F$4:$F$103,MATCH($A127,'5'!$C$4:$C$103,0)),""))))))</f>
        <v/>
      </c>
      <c r="C127" s="13" t="str">
        <f>IF($A127="","",IF(IFERROR(INDEX(Barneveld!$D$4:$D$36,MATCH($A127,Barneveld!$C$4:$C$36,0)),"")&lt;&gt;"",IFERROR(INDEX(Barneveld!$D$4:$D$36,MATCH($A127,Barneveld!$C$4:$C$36,0)),""),IF(IFERROR(INDEX(Baarn!$E$4:$E$38,MATCH($A127,Baarn!$C$4:$C$38,0)),"")&lt;&gt;"",IFERROR(INDEX(Baarn!$E$4:$E$38,MATCH($A127,Baarn!$C$4:$C$38,0)),""),IF(IFERROR(INDEX(Scherpenzeel!$E$4:$E$103,MATCH($A127,Scherpenzeel!$C$4:$C$103,0)),"")&lt;&gt;"",IFERROR(INDEX(Scherpenzeel!$E$4:$E$103,MATCH($A127,Scherpenzeel!$C$4:$C$103,0)),""),IF(IFERROR(INDEX('4'!$E$4:$E$103,MATCH($A127,'4'!$C$4:$C$103,0)),"")&lt;&gt;"",IFERROR(INDEX('4'!$E$4:$E$103,MATCH($A127,'4'!$C$4:$C$103,0)),""),IFERROR(INDEX('5'!$E$4:$E$103,MATCH($A127,'5'!$C$4:$C$103,0)),""))))))</f>
        <v/>
      </c>
      <c r="D127" s="24" t="str">
        <f>IF($A127="","",IFERROR(INDEX(Barneveld!$A$4:$A$36,MATCH($A127,Barneveld!$C$4:$C$36,0)),""))</f>
        <v/>
      </c>
      <c r="E127" s="15">
        <f>IF($A127="",0,IFERROR(INDEX(Barneveld!$H$4:$H$36,MATCH($A127,Barneveld!$C$4:$C$36,0)),0))</f>
        <v>0</v>
      </c>
      <c r="F127" s="24" t="str">
        <f>IF($A127="","",IFERROR(INDEX(Baarn!$A$4:$A$38,MATCH($A127,Baarn!$C$4:$C$38,0)),""))</f>
        <v/>
      </c>
      <c r="G127" s="15">
        <f>IF($A127="",0,IFERROR(INDEX(Baarn!$I$4:$I$38,MATCH($A127,Baarn!$C$4:$C$38,0)),0))</f>
        <v>0</v>
      </c>
      <c r="H127" s="24" t="str">
        <f>IF($A127="","",IFERROR(INDEX(Scherpenzeel!$A$4:$A$103,MATCH($A127,Scherpenzeel!$C$4:$C$103,0)),""))</f>
        <v/>
      </c>
      <c r="I127" s="15">
        <f>IF($A127="",0,IFERROR(INDEX(Scherpenzeel!$I$4:$I$103,MATCH($A127,Scherpenzeel!$C$4:$C$103,0)),0))</f>
        <v>0</v>
      </c>
      <c r="J127" s="24" t="str">
        <f>IF($A127="","",IFERROR(INDEX('4'!$A$4:$A$103,MATCH($A127,'4'!$C$4:$C$103,0)),""))</f>
        <v/>
      </c>
      <c r="K127" s="15">
        <f>IF($A127="",0,IFERROR(INDEX('4'!$I$4:$I$103,MATCH($A127,'4'!$C$4:$C$103,0)),0))</f>
        <v>0</v>
      </c>
      <c r="L127" s="24" t="str">
        <f>IF($A127="","",IFERROR(INDEX('5'!$A$4:$A$103,MATCH($A127,'5'!$C$4:$C$103,0)),""))</f>
        <v/>
      </c>
      <c r="M127" s="15">
        <f>IF($A127="",0,IFERROR(INDEX('5'!$I$4:$I$103,MATCH($A127,'5'!$C$4:$C$103,0)),0))</f>
        <v>0</v>
      </c>
      <c r="N127" s="25" t="str">
        <f t="shared" si="6"/>
        <v/>
      </c>
      <c r="O127" s="26" t="str">
        <f t="shared" si="7"/>
        <v/>
      </c>
      <c r="AA127" t="str">
        <f>IF(ISNUMBER(SEARCH("Junior",Scherpenzeel!E62)),Scherpenzeel!C62,"")</f>
        <v/>
      </c>
      <c r="AB127">
        <f>IF(AA127="",0,IF(COUNTIF($AA$1:AA127,AA127)=1,1,0))</f>
        <v>0</v>
      </c>
      <c r="AC127" t="str">
        <f>IF(AB127=1,COUNTIF($AB$1:AB127,1),"")</f>
        <v/>
      </c>
    </row>
    <row r="128" spans="1:29" x14ac:dyDescent="0.25">
      <c r="A128" s="13" t="str">
        <f>IFERROR(INDEX($AA$1:$AA$368,MATCH(125,$AC$1:$AC$368,0)),"")</f>
        <v/>
      </c>
      <c r="B128" s="13" t="str">
        <f>IF($A128="","",IF(IFERROR(INDEX(Barneveld!$E$4:$E$36,MATCH($A128,Barneveld!$C$4:$C$36,0)),"")&lt;&gt;"",IFERROR(INDEX(Barneveld!$E$4:$E$36,MATCH($A128,Barneveld!$C$4:$C$36,0)),""),IF(IFERROR(INDEX(Baarn!$F$4:$F$38,MATCH($A128,Baarn!$C$4:$C$38,0)),"")&lt;&gt;"",IFERROR(INDEX(Baarn!$F$4:$F$38,MATCH($A128,Baarn!$C$4:$C$38,0)),""),IF(IFERROR(INDEX(Scherpenzeel!$F$4:$F$103,MATCH($A128,Scherpenzeel!$C$4:$C$103,0)),"")&lt;&gt;"",IFERROR(INDEX(Scherpenzeel!$F$4:$F$103,MATCH($A128,Scherpenzeel!$C$4:$C$103,0)),""),IF(IFERROR(INDEX('4'!$F$4:$F$103,MATCH($A128,'4'!$C$4:$C$103,0)),"")&lt;&gt;"",IFERROR(INDEX('4'!$F$4:$F$103,MATCH($A128,'4'!$C$4:$C$103,0)),""),IFERROR(INDEX('5'!$F$4:$F$103,MATCH($A128,'5'!$C$4:$C$103,0)),""))))))</f>
        <v/>
      </c>
      <c r="C128" s="13" t="str">
        <f>IF($A128="","",IF(IFERROR(INDEX(Barneveld!$D$4:$D$36,MATCH($A128,Barneveld!$C$4:$C$36,0)),"")&lt;&gt;"",IFERROR(INDEX(Barneveld!$D$4:$D$36,MATCH($A128,Barneveld!$C$4:$C$36,0)),""),IF(IFERROR(INDEX(Baarn!$E$4:$E$38,MATCH($A128,Baarn!$C$4:$C$38,0)),"")&lt;&gt;"",IFERROR(INDEX(Baarn!$E$4:$E$38,MATCH($A128,Baarn!$C$4:$C$38,0)),""),IF(IFERROR(INDEX(Scherpenzeel!$E$4:$E$103,MATCH($A128,Scherpenzeel!$C$4:$C$103,0)),"")&lt;&gt;"",IFERROR(INDEX(Scherpenzeel!$E$4:$E$103,MATCH($A128,Scherpenzeel!$C$4:$C$103,0)),""),IF(IFERROR(INDEX('4'!$E$4:$E$103,MATCH($A128,'4'!$C$4:$C$103,0)),"")&lt;&gt;"",IFERROR(INDEX('4'!$E$4:$E$103,MATCH($A128,'4'!$C$4:$C$103,0)),""),IFERROR(INDEX('5'!$E$4:$E$103,MATCH($A128,'5'!$C$4:$C$103,0)),""))))))</f>
        <v/>
      </c>
      <c r="D128" s="24" t="str">
        <f>IF($A128="","",IFERROR(INDEX(Barneveld!$A$4:$A$36,MATCH($A128,Barneveld!$C$4:$C$36,0)),""))</f>
        <v/>
      </c>
      <c r="E128" s="15">
        <f>IF($A128="",0,IFERROR(INDEX(Barneveld!$H$4:$H$36,MATCH($A128,Barneveld!$C$4:$C$36,0)),0))</f>
        <v>0</v>
      </c>
      <c r="F128" s="24" t="str">
        <f>IF($A128="","",IFERROR(INDEX(Baarn!$A$4:$A$38,MATCH($A128,Baarn!$C$4:$C$38,0)),""))</f>
        <v/>
      </c>
      <c r="G128" s="15">
        <f>IF($A128="",0,IFERROR(INDEX(Baarn!$I$4:$I$38,MATCH($A128,Baarn!$C$4:$C$38,0)),0))</f>
        <v>0</v>
      </c>
      <c r="H128" s="24" t="str">
        <f>IF($A128="","",IFERROR(INDEX(Scherpenzeel!$A$4:$A$103,MATCH($A128,Scherpenzeel!$C$4:$C$103,0)),""))</f>
        <v/>
      </c>
      <c r="I128" s="15">
        <f>IF($A128="",0,IFERROR(INDEX(Scherpenzeel!$I$4:$I$103,MATCH($A128,Scherpenzeel!$C$4:$C$103,0)),0))</f>
        <v>0</v>
      </c>
      <c r="J128" s="24" t="str">
        <f>IF($A128="","",IFERROR(INDEX('4'!$A$4:$A$103,MATCH($A128,'4'!$C$4:$C$103,0)),""))</f>
        <v/>
      </c>
      <c r="K128" s="15">
        <f>IF($A128="",0,IFERROR(INDEX('4'!$I$4:$I$103,MATCH($A128,'4'!$C$4:$C$103,0)),0))</f>
        <v>0</v>
      </c>
      <c r="L128" s="24" t="str">
        <f>IF($A128="","",IFERROR(INDEX('5'!$A$4:$A$103,MATCH($A128,'5'!$C$4:$C$103,0)),""))</f>
        <v/>
      </c>
      <c r="M128" s="15">
        <f>IF($A128="",0,IFERROR(INDEX('5'!$I$4:$I$103,MATCH($A128,'5'!$C$4:$C$103,0)),0))</f>
        <v>0</v>
      </c>
      <c r="N128" s="25" t="str">
        <f t="shared" si="6"/>
        <v/>
      </c>
      <c r="O128" s="26" t="str">
        <f t="shared" si="7"/>
        <v/>
      </c>
      <c r="AA128" t="str">
        <f>IF(ISNUMBER(SEARCH("Junior",Scherpenzeel!E63)),Scherpenzeel!C63,"")</f>
        <v/>
      </c>
      <c r="AB128">
        <f>IF(AA128="",0,IF(COUNTIF($AA$1:AA128,AA128)=1,1,0))</f>
        <v>0</v>
      </c>
      <c r="AC128" t="str">
        <f>IF(AB128=1,COUNTIF($AB$1:AB128,1),"")</f>
        <v/>
      </c>
    </row>
    <row r="129" spans="1:29" x14ac:dyDescent="0.25">
      <c r="A129" s="13" t="str">
        <f>IFERROR(INDEX($AA$1:$AA$368,MATCH(126,$AC$1:$AC$368,0)),"")</f>
        <v/>
      </c>
      <c r="B129" s="13" t="str">
        <f>IF($A129="","",IF(IFERROR(INDEX(Barneveld!$E$4:$E$36,MATCH($A129,Barneveld!$C$4:$C$36,0)),"")&lt;&gt;"",IFERROR(INDEX(Barneveld!$E$4:$E$36,MATCH($A129,Barneveld!$C$4:$C$36,0)),""),IF(IFERROR(INDEX(Baarn!$F$4:$F$38,MATCH($A129,Baarn!$C$4:$C$38,0)),"")&lt;&gt;"",IFERROR(INDEX(Baarn!$F$4:$F$38,MATCH($A129,Baarn!$C$4:$C$38,0)),""),IF(IFERROR(INDEX(Scherpenzeel!$F$4:$F$103,MATCH($A129,Scherpenzeel!$C$4:$C$103,0)),"")&lt;&gt;"",IFERROR(INDEX(Scherpenzeel!$F$4:$F$103,MATCH($A129,Scherpenzeel!$C$4:$C$103,0)),""),IF(IFERROR(INDEX('4'!$F$4:$F$103,MATCH($A129,'4'!$C$4:$C$103,0)),"")&lt;&gt;"",IFERROR(INDEX('4'!$F$4:$F$103,MATCH($A129,'4'!$C$4:$C$103,0)),""),IFERROR(INDEX('5'!$F$4:$F$103,MATCH($A129,'5'!$C$4:$C$103,0)),""))))))</f>
        <v/>
      </c>
      <c r="C129" s="13" t="str">
        <f>IF($A129="","",IF(IFERROR(INDEX(Barneveld!$D$4:$D$36,MATCH($A129,Barneveld!$C$4:$C$36,0)),"")&lt;&gt;"",IFERROR(INDEX(Barneveld!$D$4:$D$36,MATCH($A129,Barneveld!$C$4:$C$36,0)),""),IF(IFERROR(INDEX(Baarn!$E$4:$E$38,MATCH($A129,Baarn!$C$4:$C$38,0)),"")&lt;&gt;"",IFERROR(INDEX(Baarn!$E$4:$E$38,MATCH($A129,Baarn!$C$4:$C$38,0)),""),IF(IFERROR(INDEX(Scherpenzeel!$E$4:$E$103,MATCH($A129,Scherpenzeel!$C$4:$C$103,0)),"")&lt;&gt;"",IFERROR(INDEX(Scherpenzeel!$E$4:$E$103,MATCH($A129,Scherpenzeel!$C$4:$C$103,0)),""),IF(IFERROR(INDEX('4'!$E$4:$E$103,MATCH($A129,'4'!$C$4:$C$103,0)),"")&lt;&gt;"",IFERROR(INDEX('4'!$E$4:$E$103,MATCH($A129,'4'!$C$4:$C$103,0)),""),IFERROR(INDEX('5'!$E$4:$E$103,MATCH($A129,'5'!$C$4:$C$103,0)),""))))))</f>
        <v/>
      </c>
      <c r="D129" s="24" t="str">
        <f>IF($A129="","",IFERROR(INDEX(Barneveld!$A$4:$A$36,MATCH($A129,Barneveld!$C$4:$C$36,0)),""))</f>
        <v/>
      </c>
      <c r="E129" s="15">
        <f>IF($A129="",0,IFERROR(INDEX(Barneveld!$H$4:$H$36,MATCH($A129,Barneveld!$C$4:$C$36,0)),0))</f>
        <v>0</v>
      </c>
      <c r="F129" s="24" t="str">
        <f>IF($A129="","",IFERROR(INDEX(Baarn!$A$4:$A$38,MATCH($A129,Baarn!$C$4:$C$38,0)),""))</f>
        <v/>
      </c>
      <c r="G129" s="15">
        <f>IF($A129="",0,IFERROR(INDEX(Baarn!$I$4:$I$38,MATCH($A129,Baarn!$C$4:$C$38,0)),0))</f>
        <v>0</v>
      </c>
      <c r="H129" s="24" t="str">
        <f>IF($A129="","",IFERROR(INDEX(Scherpenzeel!$A$4:$A$103,MATCH($A129,Scherpenzeel!$C$4:$C$103,0)),""))</f>
        <v/>
      </c>
      <c r="I129" s="15">
        <f>IF($A129="",0,IFERROR(INDEX(Scherpenzeel!$I$4:$I$103,MATCH($A129,Scherpenzeel!$C$4:$C$103,0)),0))</f>
        <v>0</v>
      </c>
      <c r="J129" s="24" t="str">
        <f>IF($A129="","",IFERROR(INDEX('4'!$A$4:$A$103,MATCH($A129,'4'!$C$4:$C$103,0)),""))</f>
        <v/>
      </c>
      <c r="K129" s="15">
        <f>IF($A129="",0,IFERROR(INDEX('4'!$I$4:$I$103,MATCH($A129,'4'!$C$4:$C$103,0)),0))</f>
        <v>0</v>
      </c>
      <c r="L129" s="24" t="str">
        <f>IF($A129="","",IFERROR(INDEX('5'!$A$4:$A$103,MATCH($A129,'5'!$C$4:$C$103,0)),""))</f>
        <v/>
      </c>
      <c r="M129" s="15">
        <f>IF($A129="",0,IFERROR(INDEX('5'!$I$4:$I$103,MATCH($A129,'5'!$C$4:$C$103,0)),0))</f>
        <v>0</v>
      </c>
      <c r="N129" s="25" t="str">
        <f t="shared" si="6"/>
        <v/>
      </c>
      <c r="O129" s="26" t="str">
        <f t="shared" si="7"/>
        <v/>
      </c>
      <c r="AA129" t="str">
        <f>IF(ISNUMBER(SEARCH("Junior",Scherpenzeel!E64)),Scherpenzeel!C64,"")</f>
        <v/>
      </c>
      <c r="AB129">
        <f>IF(AA129="",0,IF(COUNTIF($AA$1:AA129,AA129)=1,1,0))</f>
        <v>0</v>
      </c>
      <c r="AC129" t="str">
        <f>IF(AB129=1,COUNTIF($AB$1:AB129,1),"")</f>
        <v/>
      </c>
    </row>
    <row r="130" spans="1:29" x14ac:dyDescent="0.25">
      <c r="A130" s="13" t="str">
        <f>IFERROR(INDEX($AA$1:$AA$368,MATCH(127,$AC$1:$AC$368,0)),"")</f>
        <v/>
      </c>
      <c r="B130" s="13" t="str">
        <f>IF($A130="","",IF(IFERROR(INDEX(Barneveld!$E$4:$E$36,MATCH($A130,Barneveld!$C$4:$C$36,0)),"")&lt;&gt;"",IFERROR(INDEX(Barneveld!$E$4:$E$36,MATCH($A130,Barneveld!$C$4:$C$36,0)),""),IF(IFERROR(INDEX(Baarn!$F$4:$F$38,MATCH($A130,Baarn!$C$4:$C$38,0)),"")&lt;&gt;"",IFERROR(INDEX(Baarn!$F$4:$F$38,MATCH($A130,Baarn!$C$4:$C$38,0)),""),IF(IFERROR(INDEX(Scherpenzeel!$F$4:$F$103,MATCH($A130,Scherpenzeel!$C$4:$C$103,0)),"")&lt;&gt;"",IFERROR(INDEX(Scherpenzeel!$F$4:$F$103,MATCH($A130,Scherpenzeel!$C$4:$C$103,0)),""),IF(IFERROR(INDEX('4'!$F$4:$F$103,MATCH($A130,'4'!$C$4:$C$103,0)),"")&lt;&gt;"",IFERROR(INDEX('4'!$F$4:$F$103,MATCH($A130,'4'!$C$4:$C$103,0)),""),IFERROR(INDEX('5'!$F$4:$F$103,MATCH($A130,'5'!$C$4:$C$103,0)),""))))))</f>
        <v/>
      </c>
      <c r="C130" s="13" t="str">
        <f>IF($A130="","",IF(IFERROR(INDEX(Barneveld!$D$4:$D$36,MATCH($A130,Barneveld!$C$4:$C$36,0)),"")&lt;&gt;"",IFERROR(INDEX(Barneveld!$D$4:$D$36,MATCH($A130,Barneveld!$C$4:$C$36,0)),""),IF(IFERROR(INDEX(Baarn!$E$4:$E$38,MATCH($A130,Baarn!$C$4:$C$38,0)),"")&lt;&gt;"",IFERROR(INDEX(Baarn!$E$4:$E$38,MATCH($A130,Baarn!$C$4:$C$38,0)),""),IF(IFERROR(INDEX(Scherpenzeel!$E$4:$E$103,MATCH($A130,Scherpenzeel!$C$4:$C$103,0)),"")&lt;&gt;"",IFERROR(INDEX(Scherpenzeel!$E$4:$E$103,MATCH($A130,Scherpenzeel!$C$4:$C$103,0)),""),IF(IFERROR(INDEX('4'!$E$4:$E$103,MATCH($A130,'4'!$C$4:$C$103,0)),"")&lt;&gt;"",IFERROR(INDEX('4'!$E$4:$E$103,MATCH($A130,'4'!$C$4:$C$103,0)),""),IFERROR(INDEX('5'!$E$4:$E$103,MATCH($A130,'5'!$C$4:$C$103,0)),""))))))</f>
        <v/>
      </c>
      <c r="D130" s="24" t="str">
        <f>IF($A130="","",IFERROR(INDEX(Barneveld!$A$4:$A$36,MATCH($A130,Barneveld!$C$4:$C$36,0)),""))</f>
        <v/>
      </c>
      <c r="E130" s="15">
        <f>IF($A130="",0,IFERROR(INDEX(Barneveld!$H$4:$H$36,MATCH($A130,Barneveld!$C$4:$C$36,0)),0))</f>
        <v>0</v>
      </c>
      <c r="F130" s="24" t="str">
        <f>IF($A130="","",IFERROR(INDEX(Baarn!$A$4:$A$38,MATCH($A130,Baarn!$C$4:$C$38,0)),""))</f>
        <v/>
      </c>
      <c r="G130" s="15">
        <f>IF($A130="",0,IFERROR(INDEX(Baarn!$I$4:$I$38,MATCH($A130,Baarn!$C$4:$C$38,0)),0))</f>
        <v>0</v>
      </c>
      <c r="H130" s="24" t="str">
        <f>IF($A130="","",IFERROR(INDEX(Scherpenzeel!$A$4:$A$103,MATCH($A130,Scherpenzeel!$C$4:$C$103,0)),""))</f>
        <v/>
      </c>
      <c r="I130" s="15">
        <f>IF($A130="",0,IFERROR(INDEX(Scherpenzeel!$I$4:$I$103,MATCH($A130,Scherpenzeel!$C$4:$C$103,0)),0))</f>
        <v>0</v>
      </c>
      <c r="J130" s="24" t="str">
        <f>IF($A130="","",IFERROR(INDEX('4'!$A$4:$A$103,MATCH($A130,'4'!$C$4:$C$103,0)),""))</f>
        <v/>
      </c>
      <c r="K130" s="15">
        <f>IF($A130="",0,IFERROR(INDEX('4'!$I$4:$I$103,MATCH($A130,'4'!$C$4:$C$103,0)),0))</f>
        <v>0</v>
      </c>
      <c r="L130" s="24" t="str">
        <f>IF($A130="","",IFERROR(INDEX('5'!$A$4:$A$103,MATCH($A130,'5'!$C$4:$C$103,0)),""))</f>
        <v/>
      </c>
      <c r="M130" s="15">
        <f>IF($A130="",0,IFERROR(INDEX('5'!$I$4:$I$103,MATCH($A130,'5'!$C$4:$C$103,0)),0))</f>
        <v>0</v>
      </c>
      <c r="N130" s="25" t="str">
        <f t="shared" si="6"/>
        <v/>
      </c>
      <c r="O130" s="26" t="str">
        <f t="shared" si="7"/>
        <v/>
      </c>
      <c r="AA130" t="str">
        <f>IF(ISNUMBER(SEARCH("Junior",Scherpenzeel!E65)),Scherpenzeel!C65,"")</f>
        <v/>
      </c>
      <c r="AB130">
        <f>IF(AA130="",0,IF(COUNTIF($AA$1:AA130,AA130)=1,1,0))</f>
        <v>0</v>
      </c>
      <c r="AC130" t="str">
        <f>IF(AB130=1,COUNTIF($AB$1:AB130,1),"")</f>
        <v/>
      </c>
    </row>
    <row r="131" spans="1:29" x14ac:dyDescent="0.25">
      <c r="A131" s="13" t="str">
        <f>IFERROR(INDEX($AA$1:$AA$368,MATCH(128,$AC$1:$AC$368,0)),"")</f>
        <v/>
      </c>
      <c r="B131" s="13" t="str">
        <f>IF($A131="","",IF(IFERROR(INDEX(Barneveld!$E$4:$E$36,MATCH($A131,Barneveld!$C$4:$C$36,0)),"")&lt;&gt;"",IFERROR(INDEX(Barneveld!$E$4:$E$36,MATCH($A131,Barneveld!$C$4:$C$36,0)),""),IF(IFERROR(INDEX(Baarn!$F$4:$F$38,MATCH($A131,Baarn!$C$4:$C$38,0)),"")&lt;&gt;"",IFERROR(INDEX(Baarn!$F$4:$F$38,MATCH($A131,Baarn!$C$4:$C$38,0)),""),IF(IFERROR(INDEX(Scherpenzeel!$F$4:$F$103,MATCH($A131,Scherpenzeel!$C$4:$C$103,0)),"")&lt;&gt;"",IFERROR(INDEX(Scherpenzeel!$F$4:$F$103,MATCH($A131,Scherpenzeel!$C$4:$C$103,0)),""),IF(IFERROR(INDEX('4'!$F$4:$F$103,MATCH($A131,'4'!$C$4:$C$103,0)),"")&lt;&gt;"",IFERROR(INDEX('4'!$F$4:$F$103,MATCH($A131,'4'!$C$4:$C$103,0)),""),IFERROR(INDEX('5'!$F$4:$F$103,MATCH($A131,'5'!$C$4:$C$103,0)),""))))))</f>
        <v/>
      </c>
      <c r="C131" s="13" t="str">
        <f>IF($A131="","",IF(IFERROR(INDEX(Barneveld!$D$4:$D$36,MATCH($A131,Barneveld!$C$4:$C$36,0)),"")&lt;&gt;"",IFERROR(INDEX(Barneveld!$D$4:$D$36,MATCH($A131,Barneveld!$C$4:$C$36,0)),""),IF(IFERROR(INDEX(Baarn!$E$4:$E$38,MATCH($A131,Baarn!$C$4:$C$38,0)),"")&lt;&gt;"",IFERROR(INDEX(Baarn!$E$4:$E$38,MATCH($A131,Baarn!$C$4:$C$38,0)),""),IF(IFERROR(INDEX(Scherpenzeel!$E$4:$E$103,MATCH($A131,Scherpenzeel!$C$4:$C$103,0)),"")&lt;&gt;"",IFERROR(INDEX(Scherpenzeel!$E$4:$E$103,MATCH($A131,Scherpenzeel!$C$4:$C$103,0)),""),IF(IFERROR(INDEX('4'!$E$4:$E$103,MATCH($A131,'4'!$C$4:$C$103,0)),"")&lt;&gt;"",IFERROR(INDEX('4'!$E$4:$E$103,MATCH($A131,'4'!$C$4:$C$103,0)),""),IFERROR(INDEX('5'!$E$4:$E$103,MATCH($A131,'5'!$C$4:$C$103,0)),""))))))</f>
        <v/>
      </c>
      <c r="D131" s="24" t="str">
        <f>IF($A131="","",IFERROR(INDEX(Barneveld!$A$4:$A$36,MATCH($A131,Barneveld!$C$4:$C$36,0)),""))</f>
        <v/>
      </c>
      <c r="E131" s="15">
        <f>IF($A131="",0,IFERROR(INDEX(Barneveld!$H$4:$H$36,MATCH($A131,Barneveld!$C$4:$C$36,0)),0))</f>
        <v>0</v>
      </c>
      <c r="F131" s="24" t="str">
        <f>IF($A131="","",IFERROR(INDEX(Baarn!$A$4:$A$38,MATCH($A131,Baarn!$C$4:$C$38,0)),""))</f>
        <v/>
      </c>
      <c r="G131" s="15">
        <f>IF($A131="",0,IFERROR(INDEX(Baarn!$I$4:$I$38,MATCH($A131,Baarn!$C$4:$C$38,0)),0))</f>
        <v>0</v>
      </c>
      <c r="H131" s="24" t="str">
        <f>IF($A131="","",IFERROR(INDEX(Scherpenzeel!$A$4:$A$103,MATCH($A131,Scherpenzeel!$C$4:$C$103,0)),""))</f>
        <v/>
      </c>
      <c r="I131" s="15">
        <f>IF($A131="",0,IFERROR(INDEX(Scherpenzeel!$I$4:$I$103,MATCH($A131,Scherpenzeel!$C$4:$C$103,0)),0))</f>
        <v>0</v>
      </c>
      <c r="J131" s="24" t="str">
        <f>IF($A131="","",IFERROR(INDEX('4'!$A$4:$A$103,MATCH($A131,'4'!$C$4:$C$103,0)),""))</f>
        <v/>
      </c>
      <c r="K131" s="15">
        <f>IF($A131="",0,IFERROR(INDEX('4'!$I$4:$I$103,MATCH($A131,'4'!$C$4:$C$103,0)),0))</f>
        <v>0</v>
      </c>
      <c r="L131" s="24" t="str">
        <f>IF($A131="","",IFERROR(INDEX('5'!$A$4:$A$103,MATCH($A131,'5'!$C$4:$C$103,0)),""))</f>
        <v/>
      </c>
      <c r="M131" s="15">
        <f>IF($A131="",0,IFERROR(INDEX('5'!$I$4:$I$103,MATCH($A131,'5'!$C$4:$C$103,0)),0))</f>
        <v>0</v>
      </c>
      <c r="N131" s="25" t="str">
        <f t="shared" si="6"/>
        <v/>
      </c>
      <c r="O131" s="26" t="str">
        <f t="shared" si="7"/>
        <v/>
      </c>
      <c r="AA131" t="str">
        <f>IF(ISNUMBER(SEARCH("Junior",Scherpenzeel!E66)),Scherpenzeel!C66,"")</f>
        <v/>
      </c>
      <c r="AB131">
        <f>IF(AA131="",0,IF(COUNTIF($AA$1:AA131,AA131)=1,1,0))</f>
        <v>0</v>
      </c>
      <c r="AC131" t="str">
        <f>IF(AB131=1,COUNTIF($AB$1:AB131,1),"")</f>
        <v/>
      </c>
    </row>
    <row r="132" spans="1:29" x14ac:dyDescent="0.25">
      <c r="A132" s="13" t="str">
        <f>IFERROR(INDEX($AA$1:$AA$368,MATCH(129,$AC$1:$AC$368,0)),"")</f>
        <v/>
      </c>
      <c r="B132" s="13" t="str">
        <f>IF($A132="","",IF(IFERROR(INDEX(Barneveld!$E$4:$E$36,MATCH($A132,Barneveld!$C$4:$C$36,0)),"")&lt;&gt;"",IFERROR(INDEX(Barneveld!$E$4:$E$36,MATCH($A132,Barneveld!$C$4:$C$36,0)),""),IF(IFERROR(INDEX(Baarn!$F$4:$F$38,MATCH($A132,Baarn!$C$4:$C$38,0)),"")&lt;&gt;"",IFERROR(INDEX(Baarn!$F$4:$F$38,MATCH($A132,Baarn!$C$4:$C$38,0)),""),IF(IFERROR(INDEX(Scherpenzeel!$F$4:$F$103,MATCH($A132,Scherpenzeel!$C$4:$C$103,0)),"")&lt;&gt;"",IFERROR(INDEX(Scherpenzeel!$F$4:$F$103,MATCH($A132,Scherpenzeel!$C$4:$C$103,0)),""),IF(IFERROR(INDEX('4'!$F$4:$F$103,MATCH($A132,'4'!$C$4:$C$103,0)),"")&lt;&gt;"",IFERROR(INDEX('4'!$F$4:$F$103,MATCH($A132,'4'!$C$4:$C$103,0)),""),IFERROR(INDEX('5'!$F$4:$F$103,MATCH($A132,'5'!$C$4:$C$103,0)),""))))))</f>
        <v/>
      </c>
      <c r="C132" s="13" t="str">
        <f>IF($A132="","",IF(IFERROR(INDEX(Barneveld!$D$4:$D$36,MATCH($A132,Barneveld!$C$4:$C$36,0)),"")&lt;&gt;"",IFERROR(INDEX(Barneveld!$D$4:$D$36,MATCH($A132,Barneveld!$C$4:$C$36,0)),""),IF(IFERROR(INDEX(Baarn!$E$4:$E$38,MATCH($A132,Baarn!$C$4:$C$38,0)),"")&lt;&gt;"",IFERROR(INDEX(Baarn!$E$4:$E$38,MATCH($A132,Baarn!$C$4:$C$38,0)),""),IF(IFERROR(INDEX(Scherpenzeel!$E$4:$E$103,MATCH($A132,Scherpenzeel!$C$4:$C$103,0)),"")&lt;&gt;"",IFERROR(INDEX(Scherpenzeel!$E$4:$E$103,MATCH($A132,Scherpenzeel!$C$4:$C$103,0)),""),IF(IFERROR(INDEX('4'!$E$4:$E$103,MATCH($A132,'4'!$C$4:$C$103,0)),"")&lt;&gt;"",IFERROR(INDEX('4'!$E$4:$E$103,MATCH($A132,'4'!$C$4:$C$103,0)),""),IFERROR(INDEX('5'!$E$4:$E$103,MATCH($A132,'5'!$C$4:$C$103,0)),""))))))</f>
        <v/>
      </c>
      <c r="D132" s="24" t="str">
        <f>IF($A132="","",IFERROR(INDEX(Barneveld!$A$4:$A$36,MATCH($A132,Barneveld!$C$4:$C$36,0)),""))</f>
        <v/>
      </c>
      <c r="E132" s="15">
        <f>IF($A132="",0,IFERROR(INDEX(Barneveld!$H$4:$H$36,MATCH($A132,Barneveld!$C$4:$C$36,0)),0))</f>
        <v>0</v>
      </c>
      <c r="F132" s="24" t="str">
        <f>IF($A132="","",IFERROR(INDEX(Baarn!$A$4:$A$38,MATCH($A132,Baarn!$C$4:$C$38,0)),""))</f>
        <v/>
      </c>
      <c r="G132" s="15">
        <f>IF($A132="",0,IFERROR(INDEX(Baarn!$I$4:$I$38,MATCH($A132,Baarn!$C$4:$C$38,0)),0))</f>
        <v>0</v>
      </c>
      <c r="H132" s="24" t="str">
        <f>IF($A132="","",IFERROR(INDEX(Scherpenzeel!$A$4:$A$103,MATCH($A132,Scherpenzeel!$C$4:$C$103,0)),""))</f>
        <v/>
      </c>
      <c r="I132" s="15">
        <f>IF($A132="",0,IFERROR(INDEX(Scherpenzeel!$I$4:$I$103,MATCH($A132,Scherpenzeel!$C$4:$C$103,0)),0))</f>
        <v>0</v>
      </c>
      <c r="J132" s="24" t="str">
        <f>IF($A132="","",IFERROR(INDEX('4'!$A$4:$A$103,MATCH($A132,'4'!$C$4:$C$103,0)),""))</f>
        <v/>
      </c>
      <c r="K132" s="15">
        <f>IF($A132="",0,IFERROR(INDEX('4'!$I$4:$I$103,MATCH($A132,'4'!$C$4:$C$103,0)),0))</f>
        <v>0</v>
      </c>
      <c r="L132" s="24" t="str">
        <f>IF($A132="","",IFERROR(INDEX('5'!$A$4:$A$103,MATCH($A132,'5'!$C$4:$C$103,0)),""))</f>
        <v/>
      </c>
      <c r="M132" s="15">
        <f>IF($A132="",0,IFERROR(INDEX('5'!$I$4:$I$103,MATCH($A132,'5'!$C$4:$C$103,0)),0))</f>
        <v>0</v>
      </c>
      <c r="N132" s="25" t="str">
        <f t="shared" ref="N132:N163" si="8">IF($A132="","",E132+G132+I132+K132+M132)</f>
        <v/>
      </c>
      <c r="O132" s="26" t="str">
        <f t="shared" ref="O132:O163" si="9">IF(OR($A132="",N132="",N132=0),"",RANK(N132,$N$4:$N$203,0))</f>
        <v/>
      </c>
      <c r="AA132" t="str">
        <f>IF(ISNUMBER(SEARCH("Junior",Scherpenzeel!E67)),Scherpenzeel!C67,"")</f>
        <v/>
      </c>
      <c r="AB132">
        <f>IF(AA132="",0,IF(COUNTIF($AA$1:AA132,AA132)=1,1,0))</f>
        <v>0</v>
      </c>
      <c r="AC132" t="str">
        <f>IF(AB132=1,COUNTIF($AB$1:AB132,1),"")</f>
        <v/>
      </c>
    </row>
    <row r="133" spans="1:29" x14ac:dyDescent="0.25">
      <c r="A133" s="13" t="str">
        <f>IFERROR(INDEX($AA$1:$AA$368,MATCH(130,$AC$1:$AC$368,0)),"")</f>
        <v/>
      </c>
      <c r="B133" s="13" t="str">
        <f>IF($A133="","",IF(IFERROR(INDEX(Barneveld!$E$4:$E$36,MATCH($A133,Barneveld!$C$4:$C$36,0)),"")&lt;&gt;"",IFERROR(INDEX(Barneveld!$E$4:$E$36,MATCH($A133,Barneveld!$C$4:$C$36,0)),""),IF(IFERROR(INDEX(Baarn!$F$4:$F$38,MATCH($A133,Baarn!$C$4:$C$38,0)),"")&lt;&gt;"",IFERROR(INDEX(Baarn!$F$4:$F$38,MATCH($A133,Baarn!$C$4:$C$38,0)),""),IF(IFERROR(INDEX(Scherpenzeel!$F$4:$F$103,MATCH($A133,Scherpenzeel!$C$4:$C$103,0)),"")&lt;&gt;"",IFERROR(INDEX(Scherpenzeel!$F$4:$F$103,MATCH($A133,Scherpenzeel!$C$4:$C$103,0)),""),IF(IFERROR(INDEX('4'!$F$4:$F$103,MATCH($A133,'4'!$C$4:$C$103,0)),"")&lt;&gt;"",IFERROR(INDEX('4'!$F$4:$F$103,MATCH($A133,'4'!$C$4:$C$103,0)),""),IFERROR(INDEX('5'!$F$4:$F$103,MATCH($A133,'5'!$C$4:$C$103,0)),""))))))</f>
        <v/>
      </c>
      <c r="C133" s="13" t="str">
        <f>IF($A133="","",IF(IFERROR(INDEX(Barneveld!$D$4:$D$36,MATCH($A133,Barneveld!$C$4:$C$36,0)),"")&lt;&gt;"",IFERROR(INDEX(Barneveld!$D$4:$D$36,MATCH($A133,Barneveld!$C$4:$C$36,0)),""),IF(IFERROR(INDEX(Baarn!$E$4:$E$38,MATCH($A133,Baarn!$C$4:$C$38,0)),"")&lt;&gt;"",IFERROR(INDEX(Baarn!$E$4:$E$38,MATCH($A133,Baarn!$C$4:$C$38,0)),""),IF(IFERROR(INDEX(Scherpenzeel!$E$4:$E$103,MATCH($A133,Scherpenzeel!$C$4:$C$103,0)),"")&lt;&gt;"",IFERROR(INDEX(Scherpenzeel!$E$4:$E$103,MATCH($A133,Scherpenzeel!$C$4:$C$103,0)),""),IF(IFERROR(INDEX('4'!$E$4:$E$103,MATCH($A133,'4'!$C$4:$C$103,0)),"")&lt;&gt;"",IFERROR(INDEX('4'!$E$4:$E$103,MATCH($A133,'4'!$C$4:$C$103,0)),""),IFERROR(INDEX('5'!$E$4:$E$103,MATCH($A133,'5'!$C$4:$C$103,0)),""))))))</f>
        <v/>
      </c>
      <c r="D133" s="24" t="str">
        <f>IF($A133="","",IFERROR(INDEX(Barneveld!$A$4:$A$36,MATCH($A133,Barneveld!$C$4:$C$36,0)),""))</f>
        <v/>
      </c>
      <c r="E133" s="15">
        <f>IF($A133="",0,IFERROR(INDEX(Barneveld!$H$4:$H$36,MATCH($A133,Barneveld!$C$4:$C$36,0)),0))</f>
        <v>0</v>
      </c>
      <c r="F133" s="24" t="str">
        <f>IF($A133="","",IFERROR(INDEX(Baarn!$A$4:$A$38,MATCH($A133,Baarn!$C$4:$C$38,0)),""))</f>
        <v/>
      </c>
      <c r="G133" s="15">
        <f>IF($A133="",0,IFERROR(INDEX(Baarn!$I$4:$I$38,MATCH($A133,Baarn!$C$4:$C$38,0)),0))</f>
        <v>0</v>
      </c>
      <c r="H133" s="24" t="str">
        <f>IF($A133="","",IFERROR(INDEX(Scherpenzeel!$A$4:$A$103,MATCH($A133,Scherpenzeel!$C$4:$C$103,0)),""))</f>
        <v/>
      </c>
      <c r="I133" s="15">
        <f>IF($A133="",0,IFERROR(INDEX(Scherpenzeel!$I$4:$I$103,MATCH($A133,Scherpenzeel!$C$4:$C$103,0)),0))</f>
        <v>0</v>
      </c>
      <c r="J133" s="24" t="str">
        <f>IF($A133="","",IFERROR(INDEX('4'!$A$4:$A$103,MATCH($A133,'4'!$C$4:$C$103,0)),""))</f>
        <v/>
      </c>
      <c r="K133" s="15">
        <f>IF($A133="",0,IFERROR(INDEX('4'!$I$4:$I$103,MATCH($A133,'4'!$C$4:$C$103,0)),0))</f>
        <v>0</v>
      </c>
      <c r="L133" s="24" t="str">
        <f>IF($A133="","",IFERROR(INDEX('5'!$A$4:$A$103,MATCH($A133,'5'!$C$4:$C$103,0)),""))</f>
        <v/>
      </c>
      <c r="M133" s="15">
        <f>IF($A133="",0,IFERROR(INDEX('5'!$I$4:$I$103,MATCH($A133,'5'!$C$4:$C$103,0)),0))</f>
        <v>0</v>
      </c>
      <c r="N133" s="25" t="str">
        <f t="shared" si="8"/>
        <v/>
      </c>
      <c r="O133" s="26" t="str">
        <f t="shared" si="9"/>
        <v/>
      </c>
      <c r="AA133" t="str">
        <f>IF(ISNUMBER(SEARCH("Junior",Scherpenzeel!E68)),Scherpenzeel!C68,"")</f>
        <v/>
      </c>
      <c r="AB133">
        <f>IF(AA133="",0,IF(COUNTIF($AA$1:AA133,AA133)=1,1,0))</f>
        <v>0</v>
      </c>
      <c r="AC133" t="str">
        <f>IF(AB133=1,COUNTIF($AB$1:AB133,1),"")</f>
        <v/>
      </c>
    </row>
    <row r="134" spans="1:29" x14ac:dyDescent="0.25">
      <c r="A134" s="13" t="str">
        <f>IFERROR(INDEX($AA$1:$AA$368,MATCH(131,$AC$1:$AC$368,0)),"")</f>
        <v/>
      </c>
      <c r="B134" s="13" t="str">
        <f>IF($A134="","",IF(IFERROR(INDEX(Barneveld!$E$4:$E$36,MATCH($A134,Barneveld!$C$4:$C$36,0)),"")&lt;&gt;"",IFERROR(INDEX(Barneveld!$E$4:$E$36,MATCH($A134,Barneveld!$C$4:$C$36,0)),""),IF(IFERROR(INDEX(Baarn!$F$4:$F$38,MATCH($A134,Baarn!$C$4:$C$38,0)),"")&lt;&gt;"",IFERROR(INDEX(Baarn!$F$4:$F$38,MATCH($A134,Baarn!$C$4:$C$38,0)),""),IF(IFERROR(INDEX(Scherpenzeel!$F$4:$F$103,MATCH($A134,Scherpenzeel!$C$4:$C$103,0)),"")&lt;&gt;"",IFERROR(INDEX(Scherpenzeel!$F$4:$F$103,MATCH($A134,Scherpenzeel!$C$4:$C$103,0)),""),IF(IFERROR(INDEX('4'!$F$4:$F$103,MATCH($A134,'4'!$C$4:$C$103,0)),"")&lt;&gt;"",IFERROR(INDEX('4'!$F$4:$F$103,MATCH($A134,'4'!$C$4:$C$103,0)),""),IFERROR(INDEX('5'!$F$4:$F$103,MATCH($A134,'5'!$C$4:$C$103,0)),""))))))</f>
        <v/>
      </c>
      <c r="C134" s="13" t="str">
        <f>IF($A134="","",IF(IFERROR(INDEX(Barneveld!$D$4:$D$36,MATCH($A134,Barneveld!$C$4:$C$36,0)),"")&lt;&gt;"",IFERROR(INDEX(Barneveld!$D$4:$D$36,MATCH($A134,Barneveld!$C$4:$C$36,0)),""),IF(IFERROR(INDEX(Baarn!$E$4:$E$38,MATCH($A134,Baarn!$C$4:$C$38,0)),"")&lt;&gt;"",IFERROR(INDEX(Baarn!$E$4:$E$38,MATCH($A134,Baarn!$C$4:$C$38,0)),""),IF(IFERROR(INDEX(Scherpenzeel!$E$4:$E$103,MATCH($A134,Scherpenzeel!$C$4:$C$103,0)),"")&lt;&gt;"",IFERROR(INDEX(Scherpenzeel!$E$4:$E$103,MATCH($A134,Scherpenzeel!$C$4:$C$103,0)),""),IF(IFERROR(INDEX('4'!$E$4:$E$103,MATCH($A134,'4'!$C$4:$C$103,0)),"")&lt;&gt;"",IFERROR(INDEX('4'!$E$4:$E$103,MATCH($A134,'4'!$C$4:$C$103,0)),""),IFERROR(INDEX('5'!$E$4:$E$103,MATCH($A134,'5'!$C$4:$C$103,0)),""))))))</f>
        <v/>
      </c>
      <c r="D134" s="24" t="str">
        <f>IF($A134="","",IFERROR(INDEX(Barneveld!$A$4:$A$36,MATCH($A134,Barneveld!$C$4:$C$36,0)),""))</f>
        <v/>
      </c>
      <c r="E134" s="15">
        <f>IF($A134="",0,IFERROR(INDEX(Barneveld!$H$4:$H$36,MATCH($A134,Barneveld!$C$4:$C$36,0)),0))</f>
        <v>0</v>
      </c>
      <c r="F134" s="24" t="str">
        <f>IF($A134="","",IFERROR(INDEX(Baarn!$A$4:$A$38,MATCH($A134,Baarn!$C$4:$C$38,0)),""))</f>
        <v/>
      </c>
      <c r="G134" s="15">
        <f>IF($A134="",0,IFERROR(INDEX(Baarn!$I$4:$I$38,MATCH($A134,Baarn!$C$4:$C$38,0)),0))</f>
        <v>0</v>
      </c>
      <c r="H134" s="24" t="str">
        <f>IF($A134="","",IFERROR(INDEX(Scherpenzeel!$A$4:$A$103,MATCH($A134,Scherpenzeel!$C$4:$C$103,0)),""))</f>
        <v/>
      </c>
      <c r="I134" s="15">
        <f>IF($A134="",0,IFERROR(INDEX(Scherpenzeel!$I$4:$I$103,MATCH($A134,Scherpenzeel!$C$4:$C$103,0)),0))</f>
        <v>0</v>
      </c>
      <c r="J134" s="24" t="str">
        <f>IF($A134="","",IFERROR(INDEX('4'!$A$4:$A$103,MATCH($A134,'4'!$C$4:$C$103,0)),""))</f>
        <v/>
      </c>
      <c r="K134" s="15">
        <f>IF($A134="",0,IFERROR(INDEX('4'!$I$4:$I$103,MATCH($A134,'4'!$C$4:$C$103,0)),0))</f>
        <v>0</v>
      </c>
      <c r="L134" s="24" t="str">
        <f>IF($A134="","",IFERROR(INDEX('5'!$A$4:$A$103,MATCH($A134,'5'!$C$4:$C$103,0)),""))</f>
        <v/>
      </c>
      <c r="M134" s="15">
        <f>IF($A134="",0,IFERROR(INDEX('5'!$I$4:$I$103,MATCH($A134,'5'!$C$4:$C$103,0)),0))</f>
        <v>0</v>
      </c>
      <c r="N134" s="25" t="str">
        <f t="shared" si="8"/>
        <v/>
      </c>
      <c r="O134" s="26" t="str">
        <f t="shared" si="9"/>
        <v/>
      </c>
      <c r="AA134" t="str">
        <f>IF(ISNUMBER(SEARCH("Junior",Scherpenzeel!E69)),Scherpenzeel!C69,"")</f>
        <v/>
      </c>
      <c r="AB134">
        <f>IF(AA134="",0,IF(COUNTIF($AA$1:AA134,AA134)=1,1,0))</f>
        <v>0</v>
      </c>
      <c r="AC134" t="str">
        <f>IF(AB134=1,COUNTIF($AB$1:AB134,1),"")</f>
        <v/>
      </c>
    </row>
    <row r="135" spans="1:29" x14ac:dyDescent="0.25">
      <c r="A135" s="13" t="str">
        <f>IFERROR(INDEX($AA$1:$AA$368,MATCH(132,$AC$1:$AC$368,0)),"")</f>
        <v/>
      </c>
      <c r="B135" s="13" t="str">
        <f>IF($A135="","",IF(IFERROR(INDEX(Barneveld!$E$4:$E$36,MATCH($A135,Barneveld!$C$4:$C$36,0)),"")&lt;&gt;"",IFERROR(INDEX(Barneveld!$E$4:$E$36,MATCH($A135,Barneveld!$C$4:$C$36,0)),""),IF(IFERROR(INDEX(Baarn!$F$4:$F$38,MATCH($A135,Baarn!$C$4:$C$38,0)),"")&lt;&gt;"",IFERROR(INDEX(Baarn!$F$4:$F$38,MATCH($A135,Baarn!$C$4:$C$38,0)),""),IF(IFERROR(INDEX(Scherpenzeel!$F$4:$F$103,MATCH($A135,Scherpenzeel!$C$4:$C$103,0)),"")&lt;&gt;"",IFERROR(INDEX(Scherpenzeel!$F$4:$F$103,MATCH($A135,Scherpenzeel!$C$4:$C$103,0)),""),IF(IFERROR(INDEX('4'!$F$4:$F$103,MATCH($A135,'4'!$C$4:$C$103,0)),"")&lt;&gt;"",IFERROR(INDEX('4'!$F$4:$F$103,MATCH($A135,'4'!$C$4:$C$103,0)),""),IFERROR(INDEX('5'!$F$4:$F$103,MATCH($A135,'5'!$C$4:$C$103,0)),""))))))</f>
        <v/>
      </c>
      <c r="C135" s="13" t="str">
        <f>IF($A135="","",IF(IFERROR(INDEX(Barneveld!$D$4:$D$36,MATCH($A135,Barneveld!$C$4:$C$36,0)),"")&lt;&gt;"",IFERROR(INDEX(Barneveld!$D$4:$D$36,MATCH($A135,Barneveld!$C$4:$C$36,0)),""),IF(IFERROR(INDEX(Baarn!$E$4:$E$38,MATCH($A135,Baarn!$C$4:$C$38,0)),"")&lt;&gt;"",IFERROR(INDEX(Baarn!$E$4:$E$38,MATCH($A135,Baarn!$C$4:$C$38,0)),""),IF(IFERROR(INDEX(Scherpenzeel!$E$4:$E$103,MATCH($A135,Scherpenzeel!$C$4:$C$103,0)),"")&lt;&gt;"",IFERROR(INDEX(Scherpenzeel!$E$4:$E$103,MATCH($A135,Scherpenzeel!$C$4:$C$103,0)),""),IF(IFERROR(INDEX('4'!$E$4:$E$103,MATCH($A135,'4'!$C$4:$C$103,0)),"")&lt;&gt;"",IFERROR(INDEX('4'!$E$4:$E$103,MATCH($A135,'4'!$C$4:$C$103,0)),""),IFERROR(INDEX('5'!$E$4:$E$103,MATCH($A135,'5'!$C$4:$C$103,0)),""))))))</f>
        <v/>
      </c>
      <c r="D135" s="24" t="str">
        <f>IF($A135="","",IFERROR(INDEX(Barneveld!$A$4:$A$36,MATCH($A135,Barneveld!$C$4:$C$36,0)),""))</f>
        <v/>
      </c>
      <c r="E135" s="15">
        <f>IF($A135="",0,IFERROR(INDEX(Barneveld!$H$4:$H$36,MATCH($A135,Barneveld!$C$4:$C$36,0)),0))</f>
        <v>0</v>
      </c>
      <c r="F135" s="24" t="str">
        <f>IF($A135="","",IFERROR(INDEX(Baarn!$A$4:$A$38,MATCH($A135,Baarn!$C$4:$C$38,0)),""))</f>
        <v/>
      </c>
      <c r="G135" s="15">
        <f>IF($A135="",0,IFERROR(INDEX(Baarn!$I$4:$I$38,MATCH($A135,Baarn!$C$4:$C$38,0)),0))</f>
        <v>0</v>
      </c>
      <c r="H135" s="24" t="str">
        <f>IF($A135="","",IFERROR(INDEX(Scherpenzeel!$A$4:$A$103,MATCH($A135,Scherpenzeel!$C$4:$C$103,0)),""))</f>
        <v/>
      </c>
      <c r="I135" s="15">
        <f>IF($A135="",0,IFERROR(INDEX(Scherpenzeel!$I$4:$I$103,MATCH($A135,Scherpenzeel!$C$4:$C$103,0)),0))</f>
        <v>0</v>
      </c>
      <c r="J135" s="24" t="str">
        <f>IF($A135="","",IFERROR(INDEX('4'!$A$4:$A$103,MATCH($A135,'4'!$C$4:$C$103,0)),""))</f>
        <v/>
      </c>
      <c r="K135" s="15">
        <f>IF($A135="",0,IFERROR(INDEX('4'!$I$4:$I$103,MATCH($A135,'4'!$C$4:$C$103,0)),0))</f>
        <v>0</v>
      </c>
      <c r="L135" s="24" t="str">
        <f>IF($A135="","",IFERROR(INDEX('5'!$A$4:$A$103,MATCH($A135,'5'!$C$4:$C$103,0)),""))</f>
        <v/>
      </c>
      <c r="M135" s="15">
        <f>IF($A135="",0,IFERROR(INDEX('5'!$I$4:$I$103,MATCH($A135,'5'!$C$4:$C$103,0)),0))</f>
        <v>0</v>
      </c>
      <c r="N135" s="25" t="str">
        <f t="shared" si="8"/>
        <v/>
      </c>
      <c r="O135" s="26" t="str">
        <f t="shared" si="9"/>
        <v/>
      </c>
      <c r="AA135" t="str">
        <f>IF(ISNUMBER(SEARCH("Junior",Scherpenzeel!E70)),Scherpenzeel!C70,"")</f>
        <v/>
      </c>
      <c r="AB135">
        <f>IF(AA135="",0,IF(COUNTIF($AA$1:AA135,AA135)=1,1,0))</f>
        <v>0</v>
      </c>
      <c r="AC135" t="str">
        <f>IF(AB135=1,COUNTIF($AB$1:AB135,1),"")</f>
        <v/>
      </c>
    </row>
    <row r="136" spans="1:29" x14ac:dyDescent="0.25">
      <c r="A136" s="13" t="str">
        <f>IFERROR(INDEX($AA$1:$AA$368,MATCH(133,$AC$1:$AC$368,0)),"")</f>
        <v/>
      </c>
      <c r="B136" s="13" t="str">
        <f>IF($A136="","",IF(IFERROR(INDEX(Barneveld!$E$4:$E$36,MATCH($A136,Barneveld!$C$4:$C$36,0)),"")&lt;&gt;"",IFERROR(INDEX(Barneveld!$E$4:$E$36,MATCH($A136,Barneveld!$C$4:$C$36,0)),""),IF(IFERROR(INDEX(Baarn!$F$4:$F$38,MATCH($A136,Baarn!$C$4:$C$38,0)),"")&lt;&gt;"",IFERROR(INDEX(Baarn!$F$4:$F$38,MATCH($A136,Baarn!$C$4:$C$38,0)),""),IF(IFERROR(INDEX(Scherpenzeel!$F$4:$F$103,MATCH($A136,Scherpenzeel!$C$4:$C$103,0)),"")&lt;&gt;"",IFERROR(INDEX(Scherpenzeel!$F$4:$F$103,MATCH($A136,Scherpenzeel!$C$4:$C$103,0)),""),IF(IFERROR(INDEX('4'!$F$4:$F$103,MATCH($A136,'4'!$C$4:$C$103,0)),"")&lt;&gt;"",IFERROR(INDEX('4'!$F$4:$F$103,MATCH($A136,'4'!$C$4:$C$103,0)),""),IFERROR(INDEX('5'!$F$4:$F$103,MATCH($A136,'5'!$C$4:$C$103,0)),""))))))</f>
        <v/>
      </c>
      <c r="C136" s="13" t="str">
        <f>IF($A136="","",IF(IFERROR(INDEX(Barneveld!$D$4:$D$36,MATCH($A136,Barneveld!$C$4:$C$36,0)),"")&lt;&gt;"",IFERROR(INDEX(Barneveld!$D$4:$D$36,MATCH($A136,Barneveld!$C$4:$C$36,0)),""),IF(IFERROR(INDEX(Baarn!$E$4:$E$38,MATCH($A136,Baarn!$C$4:$C$38,0)),"")&lt;&gt;"",IFERROR(INDEX(Baarn!$E$4:$E$38,MATCH($A136,Baarn!$C$4:$C$38,0)),""),IF(IFERROR(INDEX(Scherpenzeel!$E$4:$E$103,MATCH($A136,Scherpenzeel!$C$4:$C$103,0)),"")&lt;&gt;"",IFERROR(INDEX(Scherpenzeel!$E$4:$E$103,MATCH($A136,Scherpenzeel!$C$4:$C$103,0)),""),IF(IFERROR(INDEX('4'!$E$4:$E$103,MATCH($A136,'4'!$C$4:$C$103,0)),"")&lt;&gt;"",IFERROR(INDEX('4'!$E$4:$E$103,MATCH($A136,'4'!$C$4:$C$103,0)),""),IFERROR(INDEX('5'!$E$4:$E$103,MATCH($A136,'5'!$C$4:$C$103,0)),""))))))</f>
        <v/>
      </c>
      <c r="D136" s="24" t="str">
        <f>IF($A136="","",IFERROR(INDEX(Barneveld!$A$4:$A$36,MATCH($A136,Barneveld!$C$4:$C$36,0)),""))</f>
        <v/>
      </c>
      <c r="E136" s="15">
        <f>IF($A136="",0,IFERROR(INDEX(Barneveld!$H$4:$H$36,MATCH($A136,Barneveld!$C$4:$C$36,0)),0))</f>
        <v>0</v>
      </c>
      <c r="F136" s="24" t="str">
        <f>IF($A136="","",IFERROR(INDEX(Baarn!$A$4:$A$38,MATCH($A136,Baarn!$C$4:$C$38,0)),""))</f>
        <v/>
      </c>
      <c r="G136" s="15">
        <f>IF($A136="",0,IFERROR(INDEX(Baarn!$I$4:$I$38,MATCH($A136,Baarn!$C$4:$C$38,0)),0))</f>
        <v>0</v>
      </c>
      <c r="H136" s="24" t="str">
        <f>IF($A136="","",IFERROR(INDEX(Scherpenzeel!$A$4:$A$103,MATCH($A136,Scherpenzeel!$C$4:$C$103,0)),""))</f>
        <v/>
      </c>
      <c r="I136" s="15">
        <f>IF($A136="",0,IFERROR(INDEX(Scherpenzeel!$I$4:$I$103,MATCH($A136,Scherpenzeel!$C$4:$C$103,0)),0))</f>
        <v>0</v>
      </c>
      <c r="J136" s="24" t="str">
        <f>IF($A136="","",IFERROR(INDEX('4'!$A$4:$A$103,MATCH($A136,'4'!$C$4:$C$103,0)),""))</f>
        <v/>
      </c>
      <c r="K136" s="15">
        <f>IF($A136="",0,IFERROR(INDEX('4'!$I$4:$I$103,MATCH($A136,'4'!$C$4:$C$103,0)),0))</f>
        <v>0</v>
      </c>
      <c r="L136" s="24" t="str">
        <f>IF($A136="","",IFERROR(INDEX('5'!$A$4:$A$103,MATCH($A136,'5'!$C$4:$C$103,0)),""))</f>
        <v/>
      </c>
      <c r="M136" s="15">
        <f>IF($A136="",0,IFERROR(INDEX('5'!$I$4:$I$103,MATCH($A136,'5'!$C$4:$C$103,0)),0))</f>
        <v>0</v>
      </c>
      <c r="N136" s="25" t="str">
        <f t="shared" si="8"/>
        <v/>
      </c>
      <c r="O136" s="26" t="str">
        <f t="shared" si="9"/>
        <v/>
      </c>
      <c r="AA136" t="str">
        <f>IF(ISNUMBER(SEARCH("Junior",Scherpenzeel!E71)),Scherpenzeel!C71,"")</f>
        <v/>
      </c>
      <c r="AB136">
        <f>IF(AA136="",0,IF(COUNTIF($AA$1:AA136,AA136)=1,1,0))</f>
        <v>0</v>
      </c>
      <c r="AC136" t="str">
        <f>IF(AB136=1,COUNTIF($AB$1:AB136,1),"")</f>
        <v/>
      </c>
    </row>
    <row r="137" spans="1:29" x14ac:dyDescent="0.25">
      <c r="A137" s="13" t="str">
        <f>IFERROR(INDEX($AA$1:$AA$368,MATCH(134,$AC$1:$AC$368,0)),"")</f>
        <v/>
      </c>
      <c r="B137" s="13" t="str">
        <f>IF($A137="","",IF(IFERROR(INDEX(Barneveld!$E$4:$E$36,MATCH($A137,Barneveld!$C$4:$C$36,0)),"")&lt;&gt;"",IFERROR(INDEX(Barneveld!$E$4:$E$36,MATCH($A137,Barneveld!$C$4:$C$36,0)),""),IF(IFERROR(INDEX(Baarn!$F$4:$F$38,MATCH($A137,Baarn!$C$4:$C$38,0)),"")&lt;&gt;"",IFERROR(INDEX(Baarn!$F$4:$F$38,MATCH($A137,Baarn!$C$4:$C$38,0)),""),IF(IFERROR(INDEX(Scherpenzeel!$F$4:$F$103,MATCH($A137,Scherpenzeel!$C$4:$C$103,0)),"")&lt;&gt;"",IFERROR(INDEX(Scherpenzeel!$F$4:$F$103,MATCH($A137,Scherpenzeel!$C$4:$C$103,0)),""),IF(IFERROR(INDEX('4'!$F$4:$F$103,MATCH($A137,'4'!$C$4:$C$103,0)),"")&lt;&gt;"",IFERROR(INDEX('4'!$F$4:$F$103,MATCH($A137,'4'!$C$4:$C$103,0)),""),IFERROR(INDEX('5'!$F$4:$F$103,MATCH($A137,'5'!$C$4:$C$103,0)),""))))))</f>
        <v/>
      </c>
      <c r="C137" s="13" t="str">
        <f>IF($A137="","",IF(IFERROR(INDEX(Barneveld!$D$4:$D$36,MATCH($A137,Barneveld!$C$4:$C$36,0)),"")&lt;&gt;"",IFERROR(INDEX(Barneveld!$D$4:$D$36,MATCH($A137,Barneveld!$C$4:$C$36,0)),""),IF(IFERROR(INDEX(Baarn!$E$4:$E$38,MATCH($A137,Baarn!$C$4:$C$38,0)),"")&lt;&gt;"",IFERROR(INDEX(Baarn!$E$4:$E$38,MATCH($A137,Baarn!$C$4:$C$38,0)),""),IF(IFERROR(INDEX(Scherpenzeel!$E$4:$E$103,MATCH($A137,Scherpenzeel!$C$4:$C$103,0)),"")&lt;&gt;"",IFERROR(INDEX(Scherpenzeel!$E$4:$E$103,MATCH($A137,Scherpenzeel!$C$4:$C$103,0)),""),IF(IFERROR(INDEX('4'!$E$4:$E$103,MATCH($A137,'4'!$C$4:$C$103,0)),"")&lt;&gt;"",IFERROR(INDEX('4'!$E$4:$E$103,MATCH($A137,'4'!$C$4:$C$103,0)),""),IFERROR(INDEX('5'!$E$4:$E$103,MATCH($A137,'5'!$C$4:$C$103,0)),""))))))</f>
        <v/>
      </c>
      <c r="D137" s="24" t="str">
        <f>IF($A137="","",IFERROR(INDEX(Barneveld!$A$4:$A$36,MATCH($A137,Barneveld!$C$4:$C$36,0)),""))</f>
        <v/>
      </c>
      <c r="E137" s="15">
        <f>IF($A137="",0,IFERROR(INDEX(Barneveld!$H$4:$H$36,MATCH($A137,Barneveld!$C$4:$C$36,0)),0))</f>
        <v>0</v>
      </c>
      <c r="F137" s="24" t="str">
        <f>IF($A137="","",IFERROR(INDEX(Baarn!$A$4:$A$38,MATCH($A137,Baarn!$C$4:$C$38,0)),""))</f>
        <v/>
      </c>
      <c r="G137" s="15">
        <f>IF($A137="",0,IFERROR(INDEX(Baarn!$I$4:$I$38,MATCH($A137,Baarn!$C$4:$C$38,0)),0))</f>
        <v>0</v>
      </c>
      <c r="H137" s="24" t="str">
        <f>IF($A137="","",IFERROR(INDEX(Scherpenzeel!$A$4:$A$103,MATCH($A137,Scherpenzeel!$C$4:$C$103,0)),""))</f>
        <v/>
      </c>
      <c r="I137" s="15">
        <f>IF($A137="",0,IFERROR(INDEX(Scherpenzeel!$I$4:$I$103,MATCH($A137,Scherpenzeel!$C$4:$C$103,0)),0))</f>
        <v>0</v>
      </c>
      <c r="J137" s="24" t="str">
        <f>IF($A137="","",IFERROR(INDEX('4'!$A$4:$A$103,MATCH($A137,'4'!$C$4:$C$103,0)),""))</f>
        <v/>
      </c>
      <c r="K137" s="15">
        <f>IF($A137="",0,IFERROR(INDEX('4'!$I$4:$I$103,MATCH($A137,'4'!$C$4:$C$103,0)),0))</f>
        <v>0</v>
      </c>
      <c r="L137" s="24" t="str">
        <f>IF($A137="","",IFERROR(INDEX('5'!$A$4:$A$103,MATCH($A137,'5'!$C$4:$C$103,0)),""))</f>
        <v/>
      </c>
      <c r="M137" s="15">
        <f>IF($A137="",0,IFERROR(INDEX('5'!$I$4:$I$103,MATCH($A137,'5'!$C$4:$C$103,0)),0))</f>
        <v>0</v>
      </c>
      <c r="N137" s="25" t="str">
        <f t="shared" si="8"/>
        <v/>
      </c>
      <c r="O137" s="26" t="str">
        <f t="shared" si="9"/>
        <v/>
      </c>
      <c r="AA137" t="str">
        <f>IF(ISNUMBER(SEARCH("Junior",Scherpenzeel!E72)),Scherpenzeel!C72,"")</f>
        <v/>
      </c>
      <c r="AB137">
        <f>IF(AA137="",0,IF(COUNTIF($AA$1:AA137,AA137)=1,1,0))</f>
        <v>0</v>
      </c>
      <c r="AC137" t="str">
        <f>IF(AB137=1,COUNTIF($AB$1:AB137,1),"")</f>
        <v/>
      </c>
    </row>
    <row r="138" spans="1:29" x14ac:dyDescent="0.25">
      <c r="A138" s="13" t="str">
        <f>IFERROR(INDEX($AA$1:$AA$368,MATCH(135,$AC$1:$AC$368,0)),"")</f>
        <v/>
      </c>
      <c r="B138" s="13" t="str">
        <f>IF($A138="","",IF(IFERROR(INDEX(Barneveld!$E$4:$E$36,MATCH($A138,Barneveld!$C$4:$C$36,0)),"")&lt;&gt;"",IFERROR(INDEX(Barneveld!$E$4:$E$36,MATCH($A138,Barneveld!$C$4:$C$36,0)),""),IF(IFERROR(INDEX(Baarn!$F$4:$F$38,MATCH($A138,Baarn!$C$4:$C$38,0)),"")&lt;&gt;"",IFERROR(INDEX(Baarn!$F$4:$F$38,MATCH($A138,Baarn!$C$4:$C$38,0)),""),IF(IFERROR(INDEX(Scherpenzeel!$F$4:$F$103,MATCH($A138,Scherpenzeel!$C$4:$C$103,0)),"")&lt;&gt;"",IFERROR(INDEX(Scherpenzeel!$F$4:$F$103,MATCH($A138,Scherpenzeel!$C$4:$C$103,0)),""),IF(IFERROR(INDEX('4'!$F$4:$F$103,MATCH($A138,'4'!$C$4:$C$103,0)),"")&lt;&gt;"",IFERROR(INDEX('4'!$F$4:$F$103,MATCH($A138,'4'!$C$4:$C$103,0)),""),IFERROR(INDEX('5'!$F$4:$F$103,MATCH($A138,'5'!$C$4:$C$103,0)),""))))))</f>
        <v/>
      </c>
      <c r="C138" s="13" t="str">
        <f>IF($A138="","",IF(IFERROR(INDEX(Barneveld!$D$4:$D$36,MATCH($A138,Barneveld!$C$4:$C$36,0)),"")&lt;&gt;"",IFERROR(INDEX(Barneveld!$D$4:$D$36,MATCH($A138,Barneveld!$C$4:$C$36,0)),""),IF(IFERROR(INDEX(Baarn!$E$4:$E$38,MATCH($A138,Baarn!$C$4:$C$38,0)),"")&lt;&gt;"",IFERROR(INDEX(Baarn!$E$4:$E$38,MATCH($A138,Baarn!$C$4:$C$38,0)),""),IF(IFERROR(INDEX(Scherpenzeel!$E$4:$E$103,MATCH($A138,Scherpenzeel!$C$4:$C$103,0)),"")&lt;&gt;"",IFERROR(INDEX(Scherpenzeel!$E$4:$E$103,MATCH($A138,Scherpenzeel!$C$4:$C$103,0)),""),IF(IFERROR(INDEX('4'!$E$4:$E$103,MATCH($A138,'4'!$C$4:$C$103,0)),"")&lt;&gt;"",IFERROR(INDEX('4'!$E$4:$E$103,MATCH($A138,'4'!$C$4:$C$103,0)),""),IFERROR(INDEX('5'!$E$4:$E$103,MATCH($A138,'5'!$C$4:$C$103,0)),""))))))</f>
        <v/>
      </c>
      <c r="D138" s="24" t="str">
        <f>IF($A138="","",IFERROR(INDEX(Barneveld!$A$4:$A$36,MATCH($A138,Barneveld!$C$4:$C$36,0)),""))</f>
        <v/>
      </c>
      <c r="E138" s="15">
        <f>IF($A138="",0,IFERROR(INDEX(Barneveld!$H$4:$H$36,MATCH($A138,Barneveld!$C$4:$C$36,0)),0))</f>
        <v>0</v>
      </c>
      <c r="F138" s="24" t="str">
        <f>IF($A138="","",IFERROR(INDEX(Baarn!$A$4:$A$38,MATCH($A138,Baarn!$C$4:$C$38,0)),""))</f>
        <v/>
      </c>
      <c r="G138" s="15">
        <f>IF($A138="",0,IFERROR(INDEX(Baarn!$I$4:$I$38,MATCH($A138,Baarn!$C$4:$C$38,0)),0))</f>
        <v>0</v>
      </c>
      <c r="H138" s="24" t="str">
        <f>IF($A138="","",IFERROR(INDEX(Scherpenzeel!$A$4:$A$103,MATCH($A138,Scherpenzeel!$C$4:$C$103,0)),""))</f>
        <v/>
      </c>
      <c r="I138" s="15">
        <f>IF($A138="",0,IFERROR(INDEX(Scherpenzeel!$I$4:$I$103,MATCH($A138,Scherpenzeel!$C$4:$C$103,0)),0))</f>
        <v>0</v>
      </c>
      <c r="J138" s="24" t="str">
        <f>IF($A138="","",IFERROR(INDEX('4'!$A$4:$A$103,MATCH($A138,'4'!$C$4:$C$103,0)),""))</f>
        <v/>
      </c>
      <c r="K138" s="15">
        <f>IF($A138="",0,IFERROR(INDEX('4'!$I$4:$I$103,MATCH($A138,'4'!$C$4:$C$103,0)),0))</f>
        <v>0</v>
      </c>
      <c r="L138" s="24" t="str">
        <f>IF($A138="","",IFERROR(INDEX('5'!$A$4:$A$103,MATCH($A138,'5'!$C$4:$C$103,0)),""))</f>
        <v/>
      </c>
      <c r="M138" s="15">
        <f>IF($A138="",0,IFERROR(INDEX('5'!$I$4:$I$103,MATCH($A138,'5'!$C$4:$C$103,0)),0))</f>
        <v>0</v>
      </c>
      <c r="N138" s="25" t="str">
        <f t="shared" si="8"/>
        <v/>
      </c>
      <c r="O138" s="26" t="str">
        <f t="shared" si="9"/>
        <v/>
      </c>
      <c r="AA138" t="str">
        <f>IF(ISNUMBER(SEARCH("Junior",Scherpenzeel!E73)),Scherpenzeel!C73,"")</f>
        <v/>
      </c>
      <c r="AB138">
        <f>IF(AA138="",0,IF(COUNTIF($AA$1:AA138,AA138)=1,1,0))</f>
        <v>0</v>
      </c>
      <c r="AC138" t="str">
        <f>IF(AB138=1,COUNTIF($AB$1:AB138,1),"")</f>
        <v/>
      </c>
    </row>
    <row r="139" spans="1:29" x14ac:dyDescent="0.25">
      <c r="A139" s="13" t="str">
        <f>IFERROR(INDEX($AA$1:$AA$368,MATCH(136,$AC$1:$AC$368,0)),"")</f>
        <v/>
      </c>
      <c r="B139" s="13" t="str">
        <f>IF($A139="","",IF(IFERROR(INDEX(Barneveld!$E$4:$E$36,MATCH($A139,Barneveld!$C$4:$C$36,0)),"")&lt;&gt;"",IFERROR(INDEX(Barneveld!$E$4:$E$36,MATCH($A139,Barneveld!$C$4:$C$36,0)),""),IF(IFERROR(INDEX(Baarn!$F$4:$F$38,MATCH($A139,Baarn!$C$4:$C$38,0)),"")&lt;&gt;"",IFERROR(INDEX(Baarn!$F$4:$F$38,MATCH($A139,Baarn!$C$4:$C$38,0)),""),IF(IFERROR(INDEX(Scherpenzeel!$F$4:$F$103,MATCH($A139,Scherpenzeel!$C$4:$C$103,0)),"")&lt;&gt;"",IFERROR(INDEX(Scherpenzeel!$F$4:$F$103,MATCH($A139,Scherpenzeel!$C$4:$C$103,0)),""),IF(IFERROR(INDEX('4'!$F$4:$F$103,MATCH($A139,'4'!$C$4:$C$103,0)),"")&lt;&gt;"",IFERROR(INDEX('4'!$F$4:$F$103,MATCH($A139,'4'!$C$4:$C$103,0)),""),IFERROR(INDEX('5'!$F$4:$F$103,MATCH($A139,'5'!$C$4:$C$103,0)),""))))))</f>
        <v/>
      </c>
      <c r="C139" s="13" t="str">
        <f>IF($A139="","",IF(IFERROR(INDEX(Barneveld!$D$4:$D$36,MATCH($A139,Barneveld!$C$4:$C$36,0)),"")&lt;&gt;"",IFERROR(INDEX(Barneveld!$D$4:$D$36,MATCH($A139,Barneveld!$C$4:$C$36,0)),""),IF(IFERROR(INDEX(Baarn!$E$4:$E$38,MATCH($A139,Baarn!$C$4:$C$38,0)),"")&lt;&gt;"",IFERROR(INDEX(Baarn!$E$4:$E$38,MATCH($A139,Baarn!$C$4:$C$38,0)),""),IF(IFERROR(INDEX(Scherpenzeel!$E$4:$E$103,MATCH($A139,Scherpenzeel!$C$4:$C$103,0)),"")&lt;&gt;"",IFERROR(INDEX(Scherpenzeel!$E$4:$E$103,MATCH($A139,Scherpenzeel!$C$4:$C$103,0)),""),IF(IFERROR(INDEX('4'!$E$4:$E$103,MATCH($A139,'4'!$C$4:$C$103,0)),"")&lt;&gt;"",IFERROR(INDEX('4'!$E$4:$E$103,MATCH($A139,'4'!$C$4:$C$103,0)),""),IFERROR(INDEX('5'!$E$4:$E$103,MATCH($A139,'5'!$C$4:$C$103,0)),""))))))</f>
        <v/>
      </c>
      <c r="D139" s="24" t="str">
        <f>IF($A139="","",IFERROR(INDEX(Barneveld!$A$4:$A$36,MATCH($A139,Barneveld!$C$4:$C$36,0)),""))</f>
        <v/>
      </c>
      <c r="E139" s="15">
        <f>IF($A139="",0,IFERROR(INDEX(Barneveld!$H$4:$H$36,MATCH($A139,Barneveld!$C$4:$C$36,0)),0))</f>
        <v>0</v>
      </c>
      <c r="F139" s="24" t="str">
        <f>IF($A139="","",IFERROR(INDEX(Baarn!$A$4:$A$38,MATCH($A139,Baarn!$C$4:$C$38,0)),""))</f>
        <v/>
      </c>
      <c r="G139" s="15">
        <f>IF($A139="",0,IFERROR(INDEX(Baarn!$I$4:$I$38,MATCH($A139,Baarn!$C$4:$C$38,0)),0))</f>
        <v>0</v>
      </c>
      <c r="H139" s="24" t="str">
        <f>IF($A139="","",IFERROR(INDEX(Scherpenzeel!$A$4:$A$103,MATCH($A139,Scherpenzeel!$C$4:$C$103,0)),""))</f>
        <v/>
      </c>
      <c r="I139" s="15">
        <f>IF($A139="",0,IFERROR(INDEX(Scherpenzeel!$I$4:$I$103,MATCH($A139,Scherpenzeel!$C$4:$C$103,0)),0))</f>
        <v>0</v>
      </c>
      <c r="J139" s="24" t="str">
        <f>IF($A139="","",IFERROR(INDEX('4'!$A$4:$A$103,MATCH($A139,'4'!$C$4:$C$103,0)),""))</f>
        <v/>
      </c>
      <c r="K139" s="15">
        <f>IF($A139="",0,IFERROR(INDEX('4'!$I$4:$I$103,MATCH($A139,'4'!$C$4:$C$103,0)),0))</f>
        <v>0</v>
      </c>
      <c r="L139" s="24" t="str">
        <f>IF($A139="","",IFERROR(INDEX('5'!$A$4:$A$103,MATCH($A139,'5'!$C$4:$C$103,0)),""))</f>
        <v/>
      </c>
      <c r="M139" s="15">
        <f>IF($A139="",0,IFERROR(INDEX('5'!$I$4:$I$103,MATCH($A139,'5'!$C$4:$C$103,0)),0))</f>
        <v>0</v>
      </c>
      <c r="N139" s="25" t="str">
        <f t="shared" si="8"/>
        <v/>
      </c>
      <c r="O139" s="26" t="str">
        <f t="shared" si="9"/>
        <v/>
      </c>
      <c r="AA139" t="str">
        <f>IF(ISNUMBER(SEARCH("Junior",Scherpenzeel!E74)),Scherpenzeel!C74,"")</f>
        <v/>
      </c>
      <c r="AB139">
        <f>IF(AA139="",0,IF(COUNTIF($AA$1:AA139,AA139)=1,1,0))</f>
        <v>0</v>
      </c>
      <c r="AC139" t="str">
        <f>IF(AB139=1,COUNTIF($AB$1:AB139,1),"")</f>
        <v/>
      </c>
    </row>
    <row r="140" spans="1:29" x14ac:dyDescent="0.25">
      <c r="A140" s="13" t="str">
        <f>IFERROR(INDEX($AA$1:$AA$368,MATCH(137,$AC$1:$AC$368,0)),"")</f>
        <v/>
      </c>
      <c r="B140" s="13" t="str">
        <f>IF($A140="","",IF(IFERROR(INDEX(Barneveld!$E$4:$E$36,MATCH($A140,Barneveld!$C$4:$C$36,0)),"")&lt;&gt;"",IFERROR(INDEX(Barneveld!$E$4:$E$36,MATCH($A140,Barneveld!$C$4:$C$36,0)),""),IF(IFERROR(INDEX(Baarn!$F$4:$F$38,MATCH($A140,Baarn!$C$4:$C$38,0)),"")&lt;&gt;"",IFERROR(INDEX(Baarn!$F$4:$F$38,MATCH($A140,Baarn!$C$4:$C$38,0)),""),IF(IFERROR(INDEX(Scherpenzeel!$F$4:$F$103,MATCH($A140,Scherpenzeel!$C$4:$C$103,0)),"")&lt;&gt;"",IFERROR(INDEX(Scherpenzeel!$F$4:$F$103,MATCH($A140,Scherpenzeel!$C$4:$C$103,0)),""),IF(IFERROR(INDEX('4'!$F$4:$F$103,MATCH($A140,'4'!$C$4:$C$103,0)),"")&lt;&gt;"",IFERROR(INDEX('4'!$F$4:$F$103,MATCH($A140,'4'!$C$4:$C$103,0)),""),IFERROR(INDEX('5'!$F$4:$F$103,MATCH($A140,'5'!$C$4:$C$103,0)),""))))))</f>
        <v/>
      </c>
      <c r="C140" s="13" t="str">
        <f>IF($A140="","",IF(IFERROR(INDEX(Barneveld!$D$4:$D$36,MATCH($A140,Barneveld!$C$4:$C$36,0)),"")&lt;&gt;"",IFERROR(INDEX(Barneveld!$D$4:$D$36,MATCH($A140,Barneveld!$C$4:$C$36,0)),""),IF(IFERROR(INDEX(Baarn!$E$4:$E$38,MATCH($A140,Baarn!$C$4:$C$38,0)),"")&lt;&gt;"",IFERROR(INDEX(Baarn!$E$4:$E$38,MATCH($A140,Baarn!$C$4:$C$38,0)),""),IF(IFERROR(INDEX(Scherpenzeel!$E$4:$E$103,MATCH($A140,Scherpenzeel!$C$4:$C$103,0)),"")&lt;&gt;"",IFERROR(INDEX(Scherpenzeel!$E$4:$E$103,MATCH($A140,Scherpenzeel!$C$4:$C$103,0)),""),IF(IFERROR(INDEX('4'!$E$4:$E$103,MATCH($A140,'4'!$C$4:$C$103,0)),"")&lt;&gt;"",IFERROR(INDEX('4'!$E$4:$E$103,MATCH($A140,'4'!$C$4:$C$103,0)),""),IFERROR(INDEX('5'!$E$4:$E$103,MATCH($A140,'5'!$C$4:$C$103,0)),""))))))</f>
        <v/>
      </c>
      <c r="D140" s="24" t="str">
        <f>IF($A140="","",IFERROR(INDEX(Barneveld!$A$4:$A$36,MATCH($A140,Barneveld!$C$4:$C$36,0)),""))</f>
        <v/>
      </c>
      <c r="E140" s="15">
        <f>IF($A140="",0,IFERROR(INDEX(Barneveld!$H$4:$H$36,MATCH($A140,Barneveld!$C$4:$C$36,0)),0))</f>
        <v>0</v>
      </c>
      <c r="F140" s="24" t="str">
        <f>IF($A140="","",IFERROR(INDEX(Baarn!$A$4:$A$38,MATCH($A140,Baarn!$C$4:$C$38,0)),""))</f>
        <v/>
      </c>
      <c r="G140" s="15">
        <f>IF($A140="",0,IFERROR(INDEX(Baarn!$I$4:$I$38,MATCH($A140,Baarn!$C$4:$C$38,0)),0))</f>
        <v>0</v>
      </c>
      <c r="H140" s="24" t="str">
        <f>IF($A140="","",IFERROR(INDEX(Scherpenzeel!$A$4:$A$103,MATCH($A140,Scherpenzeel!$C$4:$C$103,0)),""))</f>
        <v/>
      </c>
      <c r="I140" s="15">
        <f>IF($A140="",0,IFERROR(INDEX(Scherpenzeel!$I$4:$I$103,MATCH($A140,Scherpenzeel!$C$4:$C$103,0)),0))</f>
        <v>0</v>
      </c>
      <c r="J140" s="24" t="str">
        <f>IF($A140="","",IFERROR(INDEX('4'!$A$4:$A$103,MATCH($A140,'4'!$C$4:$C$103,0)),""))</f>
        <v/>
      </c>
      <c r="K140" s="15">
        <f>IF($A140="",0,IFERROR(INDEX('4'!$I$4:$I$103,MATCH($A140,'4'!$C$4:$C$103,0)),0))</f>
        <v>0</v>
      </c>
      <c r="L140" s="24" t="str">
        <f>IF($A140="","",IFERROR(INDEX('5'!$A$4:$A$103,MATCH($A140,'5'!$C$4:$C$103,0)),""))</f>
        <v/>
      </c>
      <c r="M140" s="15">
        <f>IF($A140="",0,IFERROR(INDEX('5'!$I$4:$I$103,MATCH($A140,'5'!$C$4:$C$103,0)),0))</f>
        <v>0</v>
      </c>
      <c r="N140" s="25" t="str">
        <f t="shared" si="8"/>
        <v/>
      </c>
      <c r="O140" s="26" t="str">
        <f t="shared" si="9"/>
        <v/>
      </c>
      <c r="AA140" t="str">
        <f>IF(ISNUMBER(SEARCH("Junior",Scherpenzeel!E75)),Scherpenzeel!C75,"")</f>
        <v/>
      </c>
      <c r="AB140">
        <f>IF(AA140="",0,IF(COUNTIF($AA$1:AA140,AA140)=1,1,0))</f>
        <v>0</v>
      </c>
      <c r="AC140" t="str">
        <f>IF(AB140=1,COUNTIF($AB$1:AB140,1),"")</f>
        <v/>
      </c>
    </row>
    <row r="141" spans="1:29" x14ac:dyDescent="0.25">
      <c r="A141" s="13" t="str">
        <f>IFERROR(INDEX($AA$1:$AA$368,MATCH(138,$AC$1:$AC$368,0)),"")</f>
        <v/>
      </c>
      <c r="B141" s="13" t="str">
        <f>IF($A141="","",IF(IFERROR(INDEX(Barneveld!$E$4:$E$36,MATCH($A141,Barneveld!$C$4:$C$36,0)),"")&lt;&gt;"",IFERROR(INDEX(Barneveld!$E$4:$E$36,MATCH($A141,Barneveld!$C$4:$C$36,0)),""),IF(IFERROR(INDEX(Baarn!$F$4:$F$38,MATCH($A141,Baarn!$C$4:$C$38,0)),"")&lt;&gt;"",IFERROR(INDEX(Baarn!$F$4:$F$38,MATCH($A141,Baarn!$C$4:$C$38,0)),""),IF(IFERROR(INDEX(Scherpenzeel!$F$4:$F$103,MATCH($A141,Scherpenzeel!$C$4:$C$103,0)),"")&lt;&gt;"",IFERROR(INDEX(Scherpenzeel!$F$4:$F$103,MATCH($A141,Scherpenzeel!$C$4:$C$103,0)),""),IF(IFERROR(INDEX('4'!$F$4:$F$103,MATCH($A141,'4'!$C$4:$C$103,0)),"")&lt;&gt;"",IFERROR(INDEX('4'!$F$4:$F$103,MATCH($A141,'4'!$C$4:$C$103,0)),""),IFERROR(INDEX('5'!$F$4:$F$103,MATCH($A141,'5'!$C$4:$C$103,0)),""))))))</f>
        <v/>
      </c>
      <c r="C141" s="13" t="str">
        <f>IF($A141="","",IF(IFERROR(INDEX(Barneveld!$D$4:$D$36,MATCH($A141,Barneveld!$C$4:$C$36,0)),"")&lt;&gt;"",IFERROR(INDEX(Barneveld!$D$4:$D$36,MATCH($A141,Barneveld!$C$4:$C$36,0)),""),IF(IFERROR(INDEX(Baarn!$E$4:$E$38,MATCH($A141,Baarn!$C$4:$C$38,0)),"")&lt;&gt;"",IFERROR(INDEX(Baarn!$E$4:$E$38,MATCH($A141,Baarn!$C$4:$C$38,0)),""),IF(IFERROR(INDEX(Scherpenzeel!$E$4:$E$103,MATCH($A141,Scherpenzeel!$C$4:$C$103,0)),"")&lt;&gt;"",IFERROR(INDEX(Scherpenzeel!$E$4:$E$103,MATCH($A141,Scherpenzeel!$C$4:$C$103,0)),""),IF(IFERROR(INDEX('4'!$E$4:$E$103,MATCH($A141,'4'!$C$4:$C$103,0)),"")&lt;&gt;"",IFERROR(INDEX('4'!$E$4:$E$103,MATCH($A141,'4'!$C$4:$C$103,0)),""),IFERROR(INDEX('5'!$E$4:$E$103,MATCH($A141,'5'!$C$4:$C$103,0)),""))))))</f>
        <v/>
      </c>
      <c r="D141" s="24" t="str">
        <f>IF($A141="","",IFERROR(INDEX(Barneveld!$A$4:$A$36,MATCH($A141,Barneveld!$C$4:$C$36,0)),""))</f>
        <v/>
      </c>
      <c r="E141" s="15">
        <f>IF($A141="",0,IFERROR(INDEX(Barneveld!$H$4:$H$36,MATCH($A141,Barneveld!$C$4:$C$36,0)),0))</f>
        <v>0</v>
      </c>
      <c r="F141" s="24" t="str">
        <f>IF($A141="","",IFERROR(INDEX(Baarn!$A$4:$A$38,MATCH($A141,Baarn!$C$4:$C$38,0)),""))</f>
        <v/>
      </c>
      <c r="G141" s="15">
        <f>IF($A141="",0,IFERROR(INDEX(Baarn!$I$4:$I$38,MATCH($A141,Baarn!$C$4:$C$38,0)),0))</f>
        <v>0</v>
      </c>
      <c r="H141" s="24" t="str">
        <f>IF($A141="","",IFERROR(INDEX(Scherpenzeel!$A$4:$A$103,MATCH($A141,Scherpenzeel!$C$4:$C$103,0)),""))</f>
        <v/>
      </c>
      <c r="I141" s="15">
        <f>IF($A141="",0,IFERROR(INDEX(Scherpenzeel!$I$4:$I$103,MATCH($A141,Scherpenzeel!$C$4:$C$103,0)),0))</f>
        <v>0</v>
      </c>
      <c r="J141" s="24" t="str">
        <f>IF($A141="","",IFERROR(INDEX('4'!$A$4:$A$103,MATCH($A141,'4'!$C$4:$C$103,0)),""))</f>
        <v/>
      </c>
      <c r="K141" s="15">
        <f>IF($A141="",0,IFERROR(INDEX('4'!$I$4:$I$103,MATCH($A141,'4'!$C$4:$C$103,0)),0))</f>
        <v>0</v>
      </c>
      <c r="L141" s="24" t="str">
        <f>IF($A141="","",IFERROR(INDEX('5'!$A$4:$A$103,MATCH($A141,'5'!$C$4:$C$103,0)),""))</f>
        <v/>
      </c>
      <c r="M141" s="15">
        <f>IF($A141="",0,IFERROR(INDEX('5'!$I$4:$I$103,MATCH($A141,'5'!$C$4:$C$103,0)),0))</f>
        <v>0</v>
      </c>
      <c r="N141" s="25" t="str">
        <f t="shared" si="8"/>
        <v/>
      </c>
      <c r="O141" s="26" t="str">
        <f t="shared" si="9"/>
        <v/>
      </c>
      <c r="AA141" t="str">
        <f>IF(ISNUMBER(SEARCH("Junior",Scherpenzeel!E76)),Scherpenzeel!C76,"")</f>
        <v/>
      </c>
      <c r="AB141">
        <f>IF(AA141="",0,IF(COUNTIF($AA$1:AA141,AA141)=1,1,0))</f>
        <v>0</v>
      </c>
      <c r="AC141" t="str">
        <f>IF(AB141=1,COUNTIF($AB$1:AB141,1),"")</f>
        <v/>
      </c>
    </row>
    <row r="142" spans="1:29" x14ac:dyDescent="0.25">
      <c r="A142" s="13" t="str">
        <f>IFERROR(INDEX($AA$1:$AA$368,MATCH(139,$AC$1:$AC$368,0)),"")</f>
        <v/>
      </c>
      <c r="B142" s="13" t="str">
        <f>IF($A142="","",IF(IFERROR(INDEX(Barneveld!$E$4:$E$36,MATCH($A142,Barneveld!$C$4:$C$36,0)),"")&lt;&gt;"",IFERROR(INDEX(Barneveld!$E$4:$E$36,MATCH($A142,Barneveld!$C$4:$C$36,0)),""),IF(IFERROR(INDEX(Baarn!$F$4:$F$38,MATCH($A142,Baarn!$C$4:$C$38,0)),"")&lt;&gt;"",IFERROR(INDEX(Baarn!$F$4:$F$38,MATCH($A142,Baarn!$C$4:$C$38,0)),""),IF(IFERROR(INDEX(Scherpenzeel!$F$4:$F$103,MATCH($A142,Scherpenzeel!$C$4:$C$103,0)),"")&lt;&gt;"",IFERROR(INDEX(Scherpenzeel!$F$4:$F$103,MATCH($A142,Scherpenzeel!$C$4:$C$103,0)),""),IF(IFERROR(INDEX('4'!$F$4:$F$103,MATCH($A142,'4'!$C$4:$C$103,0)),"")&lt;&gt;"",IFERROR(INDEX('4'!$F$4:$F$103,MATCH($A142,'4'!$C$4:$C$103,0)),""),IFERROR(INDEX('5'!$F$4:$F$103,MATCH($A142,'5'!$C$4:$C$103,0)),""))))))</f>
        <v/>
      </c>
      <c r="C142" s="13" t="str">
        <f>IF($A142="","",IF(IFERROR(INDEX(Barneveld!$D$4:$D$36,MATCH($A142,Barneveld!$C$4:$C$36,0)),"")&lt;&gt;"",IFERROR(INDEX(Barneveld!$D$4:$D$36,MATCH($A142,Barneveld!$C$4:$C$36,0)),""),IF(IFERROR(INDEX(Baarn!$E$4:$E$38,MATCH($A142,Baarn!$C$4:$C$38,0)),"")&lt;&gt;"",IFERROR(INDEX(Baarn!$E$4:$E$38,MATCH($A142,Baarn!$C$4:$C$38,0)),""),IF(IFERROR(INDEX(Scherpenzeel!$E$4:$E$103,MATCH($A142,Scherpenzeel!$C$4:$C$103,0)),"")&lt;&gt;"",IFERROR(INDEX(Scherpenzeel!$E$4:$E$103,MATCH($A142,Scherpenzeel!$C$4:$C$103,0)),""),IF(IFERROR(INDEX('4'!$E$4:$E$103,MATCH($A142,'4'!$C$4:$C$103,0)),"")&lt;&gt;"",IFERROR(INDEX('4'!$E$4:$E$103,MATCH($A142,'4'!$C$4:$C$103,0)),""),IFERROR(INDEX('5'!$E$4:$E$103,MATCH($A142,'5'!$C$4:$C$103,0)),""))))))</f>
        <v/>
      </c>
      <c r="D142" s="24" t="str">
        <f>IF($A142="","",IFERROR(INDEX(Barneveld!$A$4:$A$36,MATCH($A142,Barneveld!$C$4:$C$36,0)),""))</f>
        <v/>
      </c>
      <c r="E142" s="15">
        <f>IF($A142="",0,IFERROR(INDEX(Barneveld!$H$4:$H$36,MATCH($A142,Barneveld!$C$4:$C$36,0)),0))</f>
        <v>0</v>
      </c>
      <c r="F142" s="24" t="str">
        <f>IF($A142="","",IFERROR(INDEX(Baarn!$A$4:$A$38,MATCH($A142,Baarn!$C$4:$C$38,0)),""))</f>
        <v/>
      </c>
      <c r="G142" s="15">
        <f>IF($A142="",0,IFERROR(INDEX(Baarn!$I$4:$I$38,MATCH($A142,Baarn!$C$4:$C$38,0)),0))</f>
        <v>0</v>
      </c>
      <c r="H142" s="24" t="str">
        <f>IF($A142="","",IFERROR(INDEX(Scherpenzeel!$A$4:$A$103,MATCH($A142,Scherpenzeel!$C$4:$C$103,0)),""))</f>
        <v/>
      </c>
      <c r="I142" s="15">
        <f>IF($A142="",0,IFERROR(INDEX(Scherpenzeel!$I$4:$I$103,MATCH($A142,Scherpenzeel!$C$4:$C$103,0)),0))</f>
        <v>0</v>
      </c>
      <c r="J142" s="24" t="str">
        <f>IF($A142="","",IFERROR(INDEX('4'!$A$4:$A$103,MATCH($A142,'4'!$C$4:$C$103,0)),""))</f>
        <v/>
      </c>
      <c r="K142" s="15">
        <f>IF($A142="",0,IFERROR(INDEX('4'!$I$4:$I$103,MATCH($A142,'4'!$C$4:$C$103,0)),0))</f>
        <v>0</v>
      </c>
      <c r="L142" s="24" t="str">
        <f>IF($A142="","",IFERROR(INDEX('5'!$A$4:$A$103,MATCH($A142,'5'!$C$4:$C$103,0)),""))</f>
        <v/>
      </c>
      <c r="M142" s="15">
        <f>IF($A142="",0,IFERROR(INDEX('5'!$I$4:$I$103,MATCH($A142,'5'!$C$4:$C$103,0)),0))</f>
        <v>0</v>
      </c>
      <c r="N142" s="25" t="str">
        <f t="shared" si="8"/>
        <v/>
      </c>
      <c r="O142" s="26" t="str">
        <f t="shared" si="9"/>
        <v/>
      </c>
      <c r="AA142" t="str">
        <f>IF(ISNUMBER(SEARCH("Junior",Scherpenzeel!E77)),Scherpenzeel!C77,"")</f>
        <v/>
      </c>
      <c r="AB142">
        <f>IF(AA142="",0,IF(COUNTIF($AA$1:AA142,AA142)=1,1,0))</f>
        <v>0</v>
      </c>
      <c r="AC142" t="str">
        <f>IF(AB142=1,COUNTIF($AB$1:AB142,1),"")</f>
        <v/>
      </c>
    </row>
    <row r="143" spans="1:29" x14ac:dyDescent="0.25">
      <c r="A143" s="13" t="str">
        <f>IFERROR(INDEX($AA$1:$AA$368,MATCH(140,$AC$1:$AC$368,0)),"")</f>
        <v/>
      </c>
      <c r="B143" s="13" t="str">
        <f>IF($A143="","",IF(IFERROR(INDEX(Barneveld!$E$4:$E$36,MATCH($A143,Barneveld!$C$4:$C$36,0)),"")&lt;&gt;"",IFERROR(INDEX(Barneveld!$E$4:$E$36,MATCH($A143,Barneveld!$C$4:$C$36,0)),""),IF(IFERROR(INDEX(Baarn!$F$4:$F$38,MATCH($A143,Baarn!$C$4:$C$38,0)),"")&lt;&gt;"",IFERROR(INDEX(Baarn!$F$4:$F$38,MATCH($A143,Baarn!$C$4:$C$38,0)),""),IF(IFERROR(INDEX(Scherpenzeel!$F$4:$F$103,MATCH($A143,Scherpenzeel!$C$4:$C$103,0)),"")&lt;&gt;"",IFERROR(INDEX(Scherpenzeel!$F$4:$F$103,MATCH($A143,Scherpenzeel!$C$4:$C$103,0)),""),IF(IFERROR(INDEX('4'!$F$4:$F$103,MATCH($A143,'4'!$C$4:$C$103,0)),"")&lt;&gt;"",IFERROR(INDEX('4'!$F$4:$F$103,MATCH($A143,'4'!$C$4:$C$103,0)),""),IFERROR(INDEX('5'!$F$4:$F$103,MATCH($A143,'5'!$C$4:$C$103,0)),""))))))</f>
        <v/>
      </c>
      <c r="C143" s="13" t="str">
        <f>IF($A143="","",IF(IFERROR(INDEX(Barneveld!$D$4:$D$36,MATCH($A143,Barneveld!$C$4:$C$36,0)),"")&lt;&gt;"",IFERROR(INDEX(Barneveld!$D$4:$D$36,MATCH($A143,Barneveld!$C$4:$C$36,0)),""),IF(IFERROR(INDEX(Baarn!$E$4:$E$38,MATCH($A143,Baarn!$C$4:$C$38,0)),"")&lt;&gt;"",IFERROR(INDEX(Baarn!$E$4:$E$38,MATCH($A143,Baarn!$C$4:$C$38,0)),""),IF(IFERROR(INDEX(Scherpenzeel!$E$4:$E$103,MATCH($A143,Scherpenzeel!$C$4:$C$103,0)),"")&lt;&gt;"",IFERROR(INDEX(Scherpenzeel!$E$4:$E$103,MATCH($A143,Scherpenzeel!$C$4:$C$103,0)),""),IF(IFERROR(INDEX('4'!$E$4:$E$103,MATCH($A143,'4'!$C$4:$C$103,0)),"")&lt;&gt;"",IFERROR(INDEX('4'!$E$4:$E$103,MATCH($A143,'4'!$C$4:$C$103,0)),""),IFERROR(INDEX('5'!$E$4:$E$103,MATCH($A143,'5'!$C$4:$C$103,0)),""))))))</f>
        <v/>
      </c>
      <c r="D143" s="24" t="str">
        <f>IF($A143="","",IFERROR(INDEX(Barneveld!$A$4:$A$36,MATCH($A143,Barneveld!$C$4:$C$36,0)),""))</f>
        <v/>
      </c>
      <c r="E143" s="15">
        <f>IF($A143="",0,IFERROR(INDEX(Barneveld!$H$4:$H$36,MATCH($A143,Barneveld!$C$4:$C$36,0)),0))</f>
        <v>0</v>
      </c>
      <c r="F143" s="24" t="str">
        <f>IF($A143="","",IFERROR(INDEX(Baarn!$A$4:$A$38,MATCH($A143,Baarn!$C$4:$C$38,0)),""))</f>
        <v/>
      </c>
      <c r="G143" s="15">
        <f>IF($A143="",0,IFERROR(INDEX(Baarn!$I$4:$I$38,MATCH($A143,Baarn!$C$4:$C$38,0)),0))</f>
        <v>0</v>
      </c>
      <c r="H143" s="24" t="str">
        <f>IF($A143="","",IFERROR(INDEX(Scherpenzeel!$A$4:$A$103,MATCH($A143,Scherpenzeel!$C$4:$C$103,0)),""))</f>
        <v/>
      </c>
      <c r="I143" s="15">
        <f>IF($A143="",0,IFERROR(INDEX(Scherpenzeel!$I$4:$I$103,MATCH($A143,Scherpenzeel!$C$4:$C$103,0)),0))</f>
        <v>0</v>
      </c>
      <c r="J143" s="24" t="str">
        <f>IF($A143="","",IFERROR(INDEX('4'!$A$4:$A$103,MATCH($A143,'4'!$C$4:$C$103,0)),""))</f>
        <v/>
      </c>
      <c r="K143" s="15">
        <f>IF($A143="",0,IFERROR(INDEX('4'!$I$4:$I$103,MATCH($A143,'4'!$C$4:$C$103,0)),0))</f>
        <v>0</v>
      </c>
      <c r="L143" s="24" t="str">
        <f>IF($A143="","",IFERROR(INDEX('5'!$A$4:$A$103,MATCH($A143,'5'!$C$4:$C$103,0)),""))</f>
        <v/>
      </c>
      <c r="M143" s="15">
        <f>IF($A143="",0,IFERROR(INDEX('5'!$I$4:$I$103,MATCH($A143,'5'!$C$4:$C$103,0)),0))</f>
        <v>0</v>
      </c>
      <c r="N143" s="25" t="str">
        <f t="shared" si="8"/>
        <v/>
      </c>
      <c r="O143" s="26" t="str">
        <f t="shared" si="9"/>
        <v/>
      </c>
      <c r="AA143" t="str">
        <f>IF(ISNUMBER(SEARCH("Junior",Scherpenzeel!E78)),Scherpenzeel!C78,"")</f>
        <v/>
      </c>
      <c r="AB143">
        <f>IF(AA143="",0,IF(COUNTIF($AA$1:AA143,AA143)=1,1,0))</f>
        <v>0</v>
      </c>
      <c r="AC143" t="str">
        <f>IF(AB143=1,COUNTIF($AB$1:AB143,1),"")</f>
        <v/>
      </c>
    </row>
    <row r="144" spans="1:29" x14ac:dyDescent="0.25">
      <c r="A144" s="13" t="str">
        <f>IFERROR(INDEX($AA$1:$AA$368,MATCH(141,$AC$1:$AC$368,0)),"")</f>
        <v/>
      </c>
      <c r="B144" s="13" t="str">
        <f>IF($A144="","",IF(IFERROR(INDEX(Barneveld!$E$4:$E$36,MATCH($A144,Barneveld!$C$4:$C$36,0)),"")&lt;&gt;"",IFERROR(INDEX(Barneveld!$E$4:$E$36,MATCH($A144,Barneveld!$C$4:$C$36,0)),""),IF(IFERROR(INDEX(Baarn!$F$4:$F$38,MATCH($A144,Baarn!$C$4:$C$38,0)),"")&lt;&gt;"",IFERROR(INDEX(Baarn!$F$4:$F$38,MATCH($A144,Baarn!$C$4:$C$38,0)),""),IF(IFERROR(INDEX(Scherpenzeel!$F$4:$F$103,MATCH($A144,Scherpenzeel!$C$4:$C$103,0)),"")&lt;&gt;"",IFERROR(INDEX(Scherpenzeel!$F$4:$F$103,MATCH($A144,Scherpenzeel!$C$4:$C$103,0)),""),IF(IFERROR(INDEX('4'!$F$4:$F$103,MATCH($A144,'4'!$C$4:$C$103,0)),"")&lt;&gt;"",IFERROR(INDEX('4'!$F$4:$F$103,MATCH($A144,'4'!$C$4:$C$103,0)),""),IFERROR(INDEX('5'!$F$4:$F$103,MATCH($A144,'5'!$C$4:$C$103,0)),""))))))</f>
        <v/>
      </c>
      <c r="C144" s="13" t="str">
        <f>IF($A144="","",IF(IFERROR(INDEX(Barneveld!$D$4:$D$36,MATCH($A144,Barneveld!$C$4:$C$36,0)),"")&lt;&gt;"",IFERROR(INDEX(Barneveld!$D$4:$D$36,MATCH($A144,Barneveld!$C$4:$C$36,0)),""),IF(IFERROR(INDEX(Baarn!$E$4:$E$38,MATCH($A144,Baarn!$C$4:$C$38,0)),"")&lt;&gt;"",IFERROR(INDEX(Baarn!$E$4:$E$38,MATCH($A144,Baarn!$C$4:$C$38,0)),""),IF(IFERROR(INDEX(Scherpenzeel!$E$4:$E$103,MATCH($A144,Scherpenzeel!$C$4:$C$103,0)),"")&lt;&gt;"",IFERROR(INDEX(Scherpenzeel!$E$4:$E$103,MATCH($A144,Scherpenzeel!$C$4:$C$103,0)),""),IF(IFERROR(INDEX('4'!$E$4:$E$103,MATCH($A144,'4'!$C$4:$C$103,0)),"")&lt;&gt;"",IFERROR(INDEX('4'!$E$4:$E$103,MATCH($A144,'4'!$C$4:$C$103,0)),""),IFERROR(INDEX('5'!$E$4:$E$103,MATCH($A144,'5'!$C$4:$C$103,0)),""))))))</f>
        <v/>
      </c>
      <c r="D144" s="24" t="str">
        <f>IF($A144="","",IFERROR(INDEX(Barneveld!$A$4:$A$36,MATCH($A144,Barneveld!$C$4:$C$36,0)),""))</f>
        <v/>
      </c>
      <c r="E144" s="15">
        <f>IF($A144="",0,IFERROR(INDEX(Barneveld!$H$4:$H$36,MATCH($A144,Barneveld!$C$4:$C$36,0)),0))</f>
        <v>0</v>
      </c>
      <c r="F144" s="24" t="str">
        <f>IF($A144="","",IFERROR(INDEX(Baarn!$A$4:$A$38,MATCH($A144,Baarn!$C$4:$C$38,0)),""))</f>
        <v/>
      </c>
      <c r="G144" s="15">
        <f>IF($A144="",0,IFERROR(INDEX(Baarn!$I$4:$I$38,MATCH($A144,Baarn!$C$4:$C$38,0)),0))</f>
        <v>0</v>
      </c>
      <c r="H144" s="24" t="str">
        <f>IF($A144="","",IFERROR(INDEX(Scherpenzeel!$A$4:$A$103,MATCH($A144,Scherpenzeel!$C$4:$C$103,0)),""))</f>
        <v/>
      </c>
      <c r="I144" s="15">
        <f>IF($A144="",0,IFERROR(INDEX(Scherpenzeel!$I$4:$I$103,MATCH($A144,Scherpenzeel!$C$4:$C$103,0)),0))</f>
        <v>0</v>
      </c>
      <c r="J144" s="24" t="str">
        <f>IF($A144="","",IFERROR(INDEX('4'!$A$4:$A$103,MATCH($A144,'4'!$C$4:$C$103,0)),""))</f>
        <v/>
      </c>
      <c r="K144" s="15">
        <f>IF($A144="",0,IFERROR(INDEX('4'!$I$4:$I$103,MATCH($A144,'4'!$C$4:$C$103,0)),0))</f>
        <v>0</v>
      </c>
      <c r="L144" s="24" t="str">
        <f>IF($A144="","",IFERROR(INDEX('5'!$A$4:$A$103,MATCH($A144,'5'!$C$4:$C$103,0)),""))</f>
        <v/>
      </c>
      <c r="M144" s="15">
        <f>IF($A144="",0,IFERROR(INDEX('5'!$I$4:$I$103,MATCH($A144,'5'!$C$4:$C$103,0)),0))</f>
        <v>0</v>
      </c>
      <c r="N144" s="25" t="str">
        <f t="shared" si="8"/>
        <v/>
      </c>
      <c r="O144" s="26" t="str">
        <f t="shared" si="9"/>
        <v/>
      </c>
      <c r="AA144" t="str">
        <f>IF(ISNUMBER(SEARCH("Junior",Scherpenzeel!E79)),Scherpenzeel!C79,"")</f>
        <v/>
      </c>
      <c r="AB144">
        <f>IF(AA144="",0,IF(COUNTIF($AA$1:AA144,AA144)=1,1,0))</f>
        <v>0</v>
      </c>
      <c r="AC144" t="str">
        <f>IF(AB144=1,COUNTIF($AB$1:AB144,1),"")</f>
        <v/>
      </c>
    </row>
    <row r="145" spans="1:29" x14ac:dyDescent="0.25">
      <c r="A145" s="13" t="str">
        <f>IFERROR(INDEX($AA$1:$AA$368,MATCH(142,$AC$1:$AC$368,0)),"")</f>
        <v/>
      </c>
      <c r="B145" s="13" t="str">
        <f>IF($A145="","",IF(IFERROR(INDEX(Barneveld!$E$4:$E$36,MATCH($A145,Barneveld!$C$4:$C$36,0)),"")&lt;&gt;"",IFERROR(INDEX(Barneveld!$E$4:$E$36,MATCH($A145,Barneveld!$C$4:$C$36,0)),""),IF(IFERROR(INDEX(Baarn!$F$4:$F$38,MATCH($A145,Baarn!$C$4:$C$38,0)),"")&lt;&gt;"",IFERROR(INDEX(Baarn!$F$4:$F$38,MATCH($A145,Baarn!$C$4:$C$38,0)),""),IF(IFERROR(INDEX(Scherpenzeel!$F$4:$F$103,MATCH($A145,Scherpenzeel!$C$4:$C$103,0)),"")&lt;&gt;"",IFERROR(INDEX(Scherpenzeel!$F$4:$F$103,MATCH($A145,Scherpenzeel!$C$4:$C$103,0)),""),IF(IFERROR(INDEX('4'!$F$4:$F$103,MATCH($A145,'4'!$C$4:$C$103,0)),"")&lt;&gt;"",IFERROR(INDEX('4'!$F$4:$F$103,MATCH($A145,'4'!$C$4:$C$103,0)),""),IFERROR(INDEX('5'!$F$4:$F$103,MATCH($A145,'5'!$C$4:$C$103,0)),""))))))</f>
        <v/>
      </c>
      <c r="C145" s="13" t="str">
        <f>IF($A145="","",IF(IFERROR(INDEX(Barneveld!$D$4:$D$36,MATCH($A145,Barneveld!$C$4:$C$36,0)),"")&lt;&gt;"",IFERROR(INDEX(Barneveld!$D$4:$D$36,MATCH($A145,Barneveld!$C$4:$C$36,0)),""),IF(IFERROR(INDEX(Baarn!$E$4:$E$38,MATCH($A145,Baarn!$C$4:$C$38,0)),"")&lt;&gt;"",IFERROR(INDEX(Baarn!$E$4:$E$38,MATCH($A145,Baarn!$C$4:$C$38,0)),""),IF(IFERROR(INDEX(Scherpenzeel!$E$4:$E$103,MATCH($A145,Scherpenzeel!$C$4:$C$103,0)),"")&lt;&gt;"",IFERROR(INDEX(Scherpenzeel!$E$4:$E$103,MATCH($A145,Scherpenzeel!$C$4:$C$103,0)),""),IF(IFERROR(INDEX('4'!$E$4:$E$103,MATCH($A145,'4'!$C$4:$C$103,0)),"")&lt;&gt;"",IFERROR(INDEX('4'!$E$4:$E$103,MATCH($A145,'4'!$C$4:$C$103,0)),""),IFERROR(INDEX('5'!$E$4:$E$103,MATCH($A145,'5'!$C$4:$C$103,0)),""))))))</f>
        <v/>
      </c>
      <c r="D145" s="24" t="str">
        <f>IF($A145="","",IFERROR(INDEX(Barneveld!$A$4:$A$36,MATCH($A145,Barneveld!$C$4:$C$36,0)),""))</f>
        <v/>
      </c>
      <c r="E145" s="15">
        <f>IF($A145="",0,IFERROR(INDEX(Barneveld!$H$4:$H$36,MATCH($A145,Barneveld!$C$4:$C$36,0)),0))</f>
        <v>0</v>
      </c>
      <c r="F145" s="24" t="str">
        <f>IF($A145="","",IFERROR(INDEX(Baarn!$A$4:$A$38,MATCH($A145,Baarn!$C$4:$C$38,0)),""))</f>
        <v/>
      </c>
      <c r="G145" s="15">
        <f>IF($A145="",0,IFERROR(INDEX(Baarn!$I$4:$I$38,MATCH($A145,Baarn!$C$4:$C$38,0)),0))</f>
        <v>0</v>
      </c>
      <c r="H145" s="24" t="str">
        <f>IF($A145="","",IFERROR(INDEX(Scherpenzeel!$A$4:$A$103,MATCH($A145,Scherpenzeel!$C$4:$C$103,0)),""))</f>
        <v/>
      </c>
      <c r="I145" s="15">
        <f>IF($A145="",0,IFERROR(INDEX(Scherpenzeel!$I$4:$I$103,MATCH($A145,Scherpenzeel!$C$4:$C$103,0)),0))</f>
        <v>0</v>
      </c>
      <c r="J145" s="24" t="str">
        <f>IF($A145="","",IFERROR(INDEX('4'!$A$4:$A$103,MATCH($A145,'4'!$C$4:$C$103,0)),""))</f>
        <v/>
      </c>
      <c r="K145" s="15">
        <f>IF($A145="",0,IFERROR(INDEX('4'!$I$4:$I$103,MATCH($A145,'4'!$C$4:$C$103,0)),0))</f>
        <v>0</v>
      </c>
      <c r="L145" s="24" t="str">
        <f>IF($A145="","",IFERROR(INDEX('5'!$A$4:$A$103,MATCH($A145,'5'!$C$4:$C$103,0)),""))</f>
        <v/>
      </c>
      <c r="M145" s="15">
        <f>IF($A145="",0,IFERROR(INDEX('5'!$I$4:$I$103,MATCH($A145,'5'!$C$4:$C$103,0)),0))</f>
        <v>0</v>
      </c>
      <c r="N145" s="25" t="str">
        <f t="shared" si="8"/>
        <v/>
      </c>
      <c r="O145" s="26" t="str">
        <f t="shared" si="9"/>
        <v/>
      </c>
      <c r="AA145" t="str">
        <f>IF(ISNUMBER(SEARCH("Junior",Scherpenzeel!E80)),Scherpenzeel!C80,"")</f>
        <v/>
      </c>
      <c r="AB145">
        <f>IF(AA145="",0,IF(COUNTIF($AA$1:AA145,AA145)=1,1,0))</f>
        <v>0</v>
      </c>
      <c r="AC145" t="str">
        <f>IF(AB145=1,COUNTIF($AB$1:AB145,1),"")</f>
        <v/>
      </c>
    </row>
    <row r="146" spans="1:29" x14ac:dyDescent="0.25">
      <c r="A146" s="13" t="str">
        <f>IFERROR(INDEX($AA$1:$AA$368,MATCH(143,$AC$1:$AC$368,0)),"")</f>
        <v/>
      </c>
      <c r="B146" s="13" t="str">
        <f>IF($A146="","",IF(IFERROR(INDEX(Barneveld!$E$4:$E$36,MATCH($A146,Barneveld!$C$4:$C$36,0)),"")&lt;&gt;"",IFERROR(INDEX(Barneveld!$E$4:$E$36,MATCH($A146,Barneveld!$C$4:$C$36,0)),""),IF(IFERROR(INDEX(Baarn!$F$4:$F$38,MATCH($A146,Baarn!$C$4:$C$38,0)),"")&lt;&gt;"",IFERROR(INDEX(Baarn!$F$4:$F$38,MATCH($A146,Baarn!$C$4:$C$38,0)),""),IF(IFERROR(INDEX(Scherpenzeel!$F$4:$F$103,MATCH($A146,Scherpenzeel!$C$4:$C$103,0)),"")&lt;&gt;"",IFERROR(INDEX(Scherpenzeel!$F$4:$F$103,MATCH($A146,Scherpenzeel!$C$4:$C$103,0)),""),IF(IFERROR(INDEX('4'!$F$4:$F$103,MATCH($A146,'4'!$C$4:$C$103,0)),"")&lt;&gt;"",IFERROR(INDEX('4'!$F$4:$F$103,MATCH($A146,'4'!$C$4:$C$103,0)),""),IFERROR(INDEX('5'!$F$4:$F$103,MATCH($A146,'5'!$C$4:$C$103,0)),""))))))</f>
        <v/>
      </c>
      <c r="C146" s="13" t="str">
        <f>IF($A146="","",IF(IFERROR(INDEX(Barneveld!$D$4:$D$36,MATCH($A146,Barneveld!$C$4:$C$36,0)),"")&lt;&gt;"",IFERROR(INDEX(Barneveld!$D$4:$D$36,MATCH($A146,Barneveld!$C$4:$C$36,0)),""),IF(IFERROR(INDEX(Baarn!$E$4:$E$38,MATCH($A146,Baarn!$C$4:$C$38,0)),"")&lt;&gt;"",IFERROR(INDEX(Baarn!$E$4:$E$38,MATCH($A146,Baarn!$C$4:$C$38,0)),""),IF(IFERROR(INDEX(Scherpenzeel!$E$4:$E$103,MATCH($A146,Scherpenzeel!$C$4:$C$103,0)),"")&lt;&gt;"",IFERROR(INDEX(Scherpenzeel!$E$4:$E$103,MATCH($A146,Scherpenzeel!$C$4:$C$103,0)),""),IF(IFERROR(INDEX('4'!$E$4:$E$103,MATCH($A146,'4'!$C$4:$C$103,0)),"")&lt;&gt;"",IFERROR(INDEX('4'!$E$4:$E$103,MATCH($A146,'4'!$C$4:$C$103,0)),""),IFERROR(INDEX('5'!$E$4:$E$103,MATCH($A146,'5'!$C$4:$C$103,0)),""))))))</f>
        <v/>
      </c>
      <c r="D146" s="24" t="str">
        <f>IF($A146="","",IFERROR(INDEX(Barneveld!$A$4:$A$36,MATCH($A146,Barneveld!$C$4:$C$36,0)),""))</f>
        <v/>
      </c>
      <c r="E146" s="15">
        <f>IF($A146="",0,IFERROR(INDEX(Barneveld!$H$4:$H$36,MATCH($A146,Barneveld!$C$4:$C$36,0)),0))</f>
        <v>0</v>
      </c>
      <c r="F146" s="24" t="str">
        <f>IF($A146="","",IFERROR(INDEX(Baarn!$A$4:$A$38,MATCH($A146,Baarn!$C$4:$C$38,0)),""))</f>
        <v/>
      </c>
      <c r="G146" s="15">
        <f>IF($A146="",0,IFERROR(INDEX(Baarn!$I$4:$I$38,MATCH($A146,Baarn!$C$4:$C$38,0)),0))</f>
        <v>0</v>
      </c>
      <c r="H146" s="24" t="str">
        <f>IF($A146="","",IFERROR(INDEX(Scherpenzeel!$A$4:$A$103,MATCH($A146,Scherpenzeel!$C$4:$C$103,0)),""))</f>
        <v/>
      </c>
      <c r="I146" s="15">
        <f>IF($A146="",0,IFERROR(INDEX(Scherpenzeel!$I$4:$I$103,MATCH($A146,Scherpenzeel!$C$4:$C$103,0)),0))</f>
        <v>0</v>
      </c>
      <c r="J146" s="24" t="str">
        <f>IF($A146="","",IFERROR(INDEX('4'!$A$4:$A$103,MATCH($A146,'4'!$C$4:$C$103,0)),""))</f>
        <v/>
      </c>
      <c r="K146" s="15">
        <f>IF($A146="",0,IFERROR(INDEX('4'!$I$4:$I$103,MATCH($A146,'4'!$C$4:$C$103,0)),0))</f>
        <v>0</v>
      </c>
      <c r="L146" s="24" t="str">
        <f>IF($A146="","",IFERROR(INDEX('5'!$A$4:$A$103,MATCH($A146,'5'!$C$4:$C$103,0)),""))</f>
        <v/>
      </c>
      <c r="M146" s="15">
        <f>IF($A146="",0,IFERROR(INDEX('5'!$I$4:$I$103,MATCH($A146,'5'!$C$4:$C$103,0)),0))</f>
        <v>0</v>
      </c>
      <c r="N146" s="25" t="str">
        <f t="shared" si="8"/>
        <v/>
      </c>
      <c r="O146" s="26" t="str">
        <f t="shared" si="9"/>
        <v/>
      </c>
      <c r="AA146" t="str">
        <f>IF(ISNUMBER(SEARCH("Junior",Scherpenzeel!E81)),Scherpenzeel!C81,"")</f>
        <v/>
      </c>
      <c r="AB146">
        <f>IF(AA146="",0,IF(COUNTIF($AA$1:AA146,AA146)=1,1,0))</f>
        <v>0</v>
      </c>
      <c r="AC146" t="str">
        <f>IF(AB146=1,COUNTIF($AB$1:AB146,1),"")</f>
        <v/>
      </c>
    </row>
    <row r="147" spans="1:29" x14ac:dyDescent="0.25">
      <c r="A147" s="13" t="str">
        <f>IFERROR(INDEX($AA$1:$AA$368,MATCH(144,$AC$1:$AC$368,0)),"")</f>
        <v/>
      </c>
      <c r="B147" s="13" t="str">
        <f>IF($A147="","",IF(IFERROR(INDEX(Barneveld!$E$4:$E$36,MATCH($A147,Barneveld!$C$4:$C$36,0)),"")&lt;&gt;"",IFERROR(INDEX(Barneveld!$E$4:$E$36,MATCH($A147,Barneveld!$C$4:$C$36,0)),""),IF(IFERROR(INDEX(Baarn!$F$4:$F$38,MATCH($A147,Baarn!$C$4:$C$38,0)),"")&lt;&gt;"",IFERROR(INDEX(Baarn!$F$4:$F$38,MATCH($A147,Baarn!$C$4:$C$38,0)),""),IF(IFERROR(INDEX(Scherpenzeel!$F$4:$F$103,MATCH($A147,Scherpenzeel!$C$4:$C$103,0)),"")&lt;&gt;"",IFERROR(INDEX(Scherpenzeel!$F$4:$F$103,MATCH($A147,Scherpenzeel!$C$4:$C$103,0)),""),IF(IFERROR(INDEX('4'!$F$4:$F$103,MATCH($A147,'4'!$C$4:$C$103,0)),"")&lt;&gt;"",IFERROR(INDEX('4'!$F$4:$F$103,MATCH($A147,'4'!$C$4:$C$103,0)),""),IFERROR(INDEX('5'!$F$4:$F$103,MATCH($A147,'5'!$C$4:$C$103,0)),""))))))</f>
        <v/>
      </c>
      <c r="C147" s="13" t="str">
        <f>IF($A147="","",IF(IFERROR(INDEX(Barneveld!$D$4:$D$36,MATCH($A147,Barneveld!$C$4:$C$36,0)),"")&lt;&gt;"",IFERROR(INDEX(Barneveld!$D$4:$D$36,MATCH($A147,Barneveld!$C$4:$C$36,0)),""),IF(IFERROR(INDEX(Baarn!$E$4:$E$38,MATCH($A147,Baarn!$C$4:$C$38,0)),"")&lt;&gt;"",IFERROR(INDEX(Baarn!$E$4:$E$38,MATCH($A147,Baarn!$C$4:$C$38,0)),""),IF(IFERROR(INDEX(Scherpenzeel!$E$4:$E$103,MATCH($A147,Scherpenzeel!$C$4:$C$103,0)),"")&lt;&gt;"",IFERROR(INDEX(Scherpenzeel!$E$4:$E$103,MATCH($A147,Scherpenzeel!$C$4:$C$103,0)),""),IF(IFERROR(INDEX('4'!$E$4:$E$103,MATCH($A147,'4'!$C$4:$C$103,0)),"")&lt;&gt;"",IFERROR(INDEX('4'!$E$4:$E$103,MATCH($A147,'4'!$C$4:$C$103,0)),""),IFERROR(INDEX('5'!$E$4:$E$103,MATCH($A147,'5'!$C$4:$C$103,0)),""))))))</f>
        <v/>
      </c>
      <c r="D147" s="24" t="str">
        <f>IF($A147="","",IFERROR(INDEX(Barneveld!$A$4:$A$36,MATCH($A147,Barneveld!$C$4:$C$36,0)),""))</f>
        <v/>
      </c>
      <c r="E147" s="15">
        <f>IF($A147="",0,IFERROR(INDEX(Barneveld!$H$4:$H$36,MATCH($A147,Barneveld!$C$4:$C$36,0)),0))</f>
        <v>0</v>
      </c>
      <c r="F147" s="24" t="str">
        <f>IF($A147="","",IFERROR(INDEX(Baarn!$A$4:$A$38,MATCH($A147,Baarn!$C$4:$C$38,0)),""))</f>
        <v/>
      </c>
      <c r="G147" s="15">
        <f>IF($A147="",0,IFERROR(INDEX(Baarn!$I$4:$I$38,MATCH($A147,Baarn!$C$4:$C$38,0)),0))</f>
        <v>0</v>
      </c>
      <c r="H147" s="24" t="str">
        <f>IF($A147="","",IFERROR(INDEX(Scherpenzeel!$A$4:$A$103,MATCH($A147,Scherpenzeel!$C$4:$C$103,0)),""))</f>
        <v/>
      </c>
      <c r="I147" s="15">
        <f>IF($A147="",0,IFERROR(INDEX(Scherpenzeel!$I$4:$I$103,MATCH($A147,Scherpenzeel!$C$4:$C$103,0)),0))</f>
        <v>0</v>
      </c>
      <c r="J147" s="24" t="str">
        <f>IF($A147="","",IFERROR(INDEX('4'!$A$4:$A$103,MATCH($A147,'4'!$C$4:$C$103,0)),""))</f>
        <v/>
      </c>
      <c r="K147" s="15">
        <f>IF($A147="",0,IFERROR(INDEX('4'!$I$4:$I$103,MATCH($A147,'4'!$C$4:$C$103,0)),0))</f>
        <v>0</v>
      </c>
      <c r="L147" s="24" t="str">
        <f>IF($A147="","",IFERROR(INDEX('5'!$A$4:$A$103,MATCH($A147,'5'!$C$4:$C$103,0)),""))</f>
        <v/>
      </c>
      <c r="M147" s="15">
        <f>IF($A147="",0,IFERROR(INDEX('5'!$I$4:$I$103,MATCH($A147,'5'!$C$4:$C$103,0)),0))</f>
        <v>0</v>
      </c>
      <c r="N147" s="25" t="str">
        <f t="shared" si="8"/>
        <v/>
      </c>
      <c r="O147" s="26" t="str">
        <f t="shared" si="9"/>
        <v/>
      </c>
      <c r="AA147" t="str">
        <f>IF(ISNUMBER(SEARCH("Junior",Scherpenzeel!E82)),Scherpenzeel!C82,"")</f>
        <v/>
      </c>
      <c r="AB147">
        <f>IF(AA147="",0,IF(COUNTIF($AA$1:AA147,AA147)=1,1,0))</f>
        <v>0</v>
      </c>
      <c r="AC147" t="str">
        <f>IF(AB147=1,COUNTIF($AB$1:AB147,1),"")</f>
        <v/>
      </c>
    </row>
    <row r="148" spans="1:29" x14ac:dyDescent="0.25">
      <c r="A148" s="13" t="str">
        <f>IFERROR(INDEX($AA$1:$AA$368,MATCH(145,$AC$1:$AC$368,0)),"")</f>
        <v/>
      </c>
      <c r="B148" s="13" t="str">
        <f>IF($A148="","",IF(IFERROR(INDEX(Barneveld!$E$4:$E$36,MATCH($A148,Barneveld!$C$4:$C$36,0)),"")&lt;&gt;"",IFERROR(INDEX(Barneveld!$E$4:$E$36,MATCH($A148,Barneveld!$C$4:$C$36,0)),""),IF(IFERROR(INDEX(Baarn!$F$4:$F$38,MATCH($A148,Baarn!$C$4:$C$38,0)),"")&lt;&gt;"",IFERROR(INDEX(Baarn!$F$4:$F$38,MATCH($A148,Baarn!$C$4:$C$38,0)),""),IF(IFERROR(INDEX(Scherpenzeel!$F$4:$F$103,MATCH($A148,Scherpenzeel!$C$4:$C$103,0)),"")&lt;&gt;"",IFERROR(INDEX(Scherpenzeel!$F$4:$F$103,MATCH($A148,Scherpenzeel!$C$4:$C$103,0)),""),IF(IFERROR(INDEX('4'!$F$4:$F$103,MATCH($A148,'4'!$C$4:$C$103,0)),"")&lt;&gt;"",IFERROR(INDEX('4'!$F$4:$F$103,MATCH($A148,'4'!$C$4:$C$103,0)),""),IFERROR(INDEX('5'!$F$4:$F$103,MATCH($A148,'5'!$C$4:$C$103,0)),""))))))</f>
        <v/>
      </c>
      <c r="C148" s="13" t="str">
        <f>IF($A148="","",IF(IFERROR(INDEX(Barneveld!$D$4:$D$36,MATCH($A148,Barneveld!$C$4:$C$36,0)),"")&lt;&gt;"",IFERROR(INDEX(Barneveld!$D$4:$D$36,MATCH($A148,Barneveld!$C$4:$C$36,0)),""),IF(IFERROR(INDEX(Baarn!$E$4:$E$38,MATCH($A148,Baarn!$C$4:$C$38,0)),"")&lt;&gt;"",IFERROR(INDEX(Baarn!$E$4:$E$38,MATCH($A148,Baarn!$C$4:$C$38,0)),""),IF(IFERROR(INDEX(Scherpenzeel!$E$4:$E$103,MATCH($A148,Scherpenzeel!$C$4:$C$103,0)),"")&lt;&gt;"",IFERROR(INDEX(Scherpenzeel!$E$4:$E$103,MATCH($A148,Scherpenzeel!$C$4:$C$103,0)),""),IF(IFERROR(INDEX('4'!$E$4:$E$103,MATCH($A148,'4'!$C$4:$C$103,0)),"")&lt;&gt;"",IFERROR(INDEX('4'!$E$4:$E$103,MATCH($A148,'4'!$C$4:$C$103,0)),""),IFERROR(INDEX('5'!$E$4:$E$103,MATCH($A148,'5'!$C$4:$C$103,0)),""))))))</f>
        <v/>
      </c>
      <c r="D148" s="24" t="str">
        <f>IF($A148="","",IFERROR(INDEX(Barneveld!$A$4:$A$36,MATCH($A148,Barneveld!$C$4:$C$36,0)),""))</f>
        <v/>
      </c>
      <c r="E148" s="15">
        <f>IF($A148="",0,IFERROR(INDEX(Barneveld!$H$4:$H$36,MATCH($A148,Barneveld!$C$4:$C$36,0)),0))</f>
        <v>0</v>
      </c>
      <c r="F148" s="24" t="str">
        <f>IF($A148="","",IFERROR(INDEX(Baarn!$A$4:$A$38,MATCH($A148,Baarn!$C$4:$C$38,0)),""))</f>
        <v/>
      </c>
      <c r="G148" s="15">
        <f>IF($A148="",0,IFERROR(INDEX(Baarn!$I$4:$I$38,MATCH($A148,Baarn!$C$4:$C$38,0)),0))</f>
        <v>0</v>
      </c>
      <c r="H148" s="24" t="str">
        <f>IF($A148="","",IFERROR(INDEX(Scherpenzeel!$A$4:$A$103,MATCH($A148,Scherpenzeel!$C$4:$C$103,0)),""))</f>
        <v/>
      </c>
      <c r="I148" s="15">
        <f>IF($A148="",0,IFERROR(INDEX(Scherpenzeel!$I$4:$I$103,MATCH($A148,Scherpenzeel!$C$4:$C$103,0)),0))</f>
        <v>0</v>
      </c>
      <c r="J148" s="24" t="str">
        <f>IF($A148="","",IFERROR(INDEX('4'!$A$4:$A$103,MATCH($A148,'4'!$C$4:$C$103,0)),""))</f>
        <v/>
      </c>
      <c r="K148" s="15">
        <f>IF($A148="",0,IFERROR(INDEX('4'!$I$4:$I$103,MATCH($A148,'4'!$C$4:$C$103,0)),0))</f>
        <v>0</v>
      </c>
      <c r="L148" s="24" t="str">
        <f>IF($A148="","",IFERROR(INDEX('5'!$A$4:$A$103,MATCH($A148,'5'!$C$4:$C$103,0)),""))</f>
        <v/>
      </c>
      <c r="M148" s="15">
        <f>IF($A148="",0,IFERROR(INDEX('5'!$I$4:$I$103,MATCH($A148,'5'!$C$4:$C$103,0)),0))</f>
        <v>0</v>
      </c>
      <c r="N148" s="25" t="str">
        <f t="shared" si="8"/>
        <v/>
      </c>
      <c r="O148" s="26" t="str">
        <f t="shared" si="9"/>
        <v/>
      </c>
      <c r="AA148" t="str">
        <f>IF(ISNUMBER(SEARCH("Junior",Scherpenzeel!E83)),Scherpenzeel!C83,"")</f>
        <v/>
      </c>
      <c r="AB148">
        <f>IF(AA148="",0,IF(COUNTIF($AA$1:AA148,AA148)=1,1,0))</f>
        <v>0</v>
      </c>
      <c r="AC148" t="str">
        <f>IF(AB148=1,COUNTIF($AB$1:AB148,1),"")</f>
        <v/>
      </c>
    </row>
    <row r="149" spans="1:29" x14ac:dyDescent="0.25">
      <c r="A149" s="13" t="str">
        <f>IFERROR(INDEX($AA$1:$AA$368,MATCH(146,$AC$1:$AC$368,0)),"")</f>
        <v/>
      </c>
      <c r="B149" s="13" t="str">
        <f>IF($A149="","",IF(IFERROR(INDEX(Barneveld!$E$4:$E$36,MATCH($A149,Barneveld!$C$4:$C$36,0)),"")&lt;&gt;"",IFERROR(INDEX(Barneveld!$E$4:$E$36,MATCH($A149,Barneveld!$C$4:$C$36,0)),""),IF(IFERROR(INDEX(Baarn!$F$4:$F$38,MATCH($A149,Baarn!$C$4:$C$38,0)),"")&lt;&gt;"",IFERROR(INDEX(Baarn!$F$4:$F$38,MATCH($A149,Baarn!$C$4:$C$38,0)),""),IF(IFERROR(INDEX(Scherpenzeel!$F$4:$F$103,MATCH($A149,Scherpenzeel!$C$4:$C$103,0)),"")&lt;&gt;"",IFERROR(INDEX(Scherpenzeel!$F$4:$F$103,MATCH($A149,Scherpenzeel!$C$4:$C$103,0)),""),IF(IFERROR(INDEX('4'!$F$4:$F$103,MATCH($A149,'4'!$C$4:$C$103,0)),"")&lt;&gt;"",IFERROR(INDEX('4'!$F$4:$F$103,MATCH($A149,'4'!$C$4:$C$103,0)),""),IFERROR(INDEX('5'!$F$4:$F$103,MATCH($A149,'5'!$C$4:$C$103,0)),""))))))</f>
        <v/>
      </c>
      <c r="C149" s="13" t="str">
        <f>IF($A149="","",IF(IFERROR(INDEX(Barneveld!$D$4:$D$36,MATCH($A149,Barneveld!$C$4:$C$36,0)),"")&lt;&gt;"",IFERROR(INDEX(Barneveld!$D$4:$D$36,MATCH($A149,Barneveld!$C$4:$C$36,0)),""),IF(IFERROR(INDEX(Baarn!$E$4:$E$38,MATCH($A149,Baarn!$C$4:$C$38,0)),"")&lt;&gt;"",IFERROR(INDEX(Baarn!$E$4:$E$38,MATCH($A149,Baarn!$C$4:$C$38,0)),""),IF(IFERROR(INDEX(Scherpenzeel!$E$4:$E$103,MATCH($A149,Scherpenzeel!$C$4:$C$103,0)),"")&lt;&gt;"",IFERROR(INDEX(Scherpenzeel!$E$4:$E$103,MATCH($A149,Scherpenzeel!$C$4:$C$103,0)),""),IF(IFERROR(INDEX('4'!$E$4:$E$103,MATCH($A149,'4'!$C$4:$C$103,0)),"")&lt;&gt;"",IFERROR(INDEX('4'!$E$4:$E$103,MATCH($A149,'4'!$C$4:$C$103,0)),""),IFERROR(INDEX('5'!$E$4:$E$103,MATCH($A149,'5'!$C$4:$C$103,0)),""))))))</f>
        <v/>
      </c>
      <c r="D149" s="24" t="str">
        <f>IF($A149="","",IFERROR(INDEX(Barneveld!$A$4:$A$36,MATCH($A149,Barneveld!$C$4:$C$36,0)),""))</f>
        <v/>
      </c>
      <c r="E149" s="15">
        <f>IF($A149="",0,IFERROR(INDEX(Barneveld!$H$4:$H$36,MATCH($A149,Barneveld!$C$4:$C$36,0)),0))</f>
        <v>0</v>
      </c>
      <c r="F149" s="24" t="str">
        <f>IF($A149="","",IFERROR(INDEX(Baarn!$A$4:$A$38,MATCH($A149,Baarn!$C$4:$C$38,0)),""))</f>
        <v/>
      </c>
      <c r="G149" s="15">
        <f>IF($A149="",0,IFERROR(INDEX(Baarn!$I$4:$I$38,MATCH($A149,Baarn!$C$4:$C$38,0)),0))</f>
        <v>0</v>
      </c>
      <c r="H149" s="24" t="str">
        <f>IF($A149="","",IFERROR(INDEX(Scherpenzeel!$A$4:$A$103,MATCH($A149,Scherpenzeel!$C$4:$C$103,0)),""))</f>
        <v/>
      </c>
      <c r="I149" s="15">
        <f>IF($A149="",0,IFERROR(INDEX(Scherpenzeel!$I$4:$I$103,MATCH($A149,Scherpenzeel!$C$4:$C$103,0)),0))</f>
        <v>0</v>
      </c>
      <c r="J149" s="24" t="str">
        <f>IF($A149="","",IFERROR(INDEX('4'!$A$4:$A$103,MATCH($A149,'4'!$C$4:$C$103,0)),""))</f>
        <v/>
      </c>
      <c r="K149" s="15">
        <f>IF($A149="",0,IFERROR(INDEX('4'!$I$4:$I$103,MATCH($A149,'4'!$C$4:$C$103,0)),0))</f>
        <v>0</v>
      </c>
      <c r="L149" s="24" t="str">
        <f>IF($A149="","",IFERROR(INDEX('5'!$A$4:$A$103,MATCH($A149,'5'!$C$4:$C$103,0)),""))</f>
        <v/>
      </c>
      <c r="M149" s="15">
        <f>IF($A149="",0,IFERROR(INDEX('5'!$I$4:$I$103,MATCH($A149,'5'!$C$4:$C$103,0)),0))</f>
        <v>0</v>
      </c>
      <c r="N149" s="25" t="str">
        <f t="shared" si="8"/>
        <v/>
      </c>
      <c r="O149" s="26" t="str">
        <f t="shared" si="9"/>
        <v/>
      </c>
      <c r="AA149" t="str">
        <f>IF(ISNUMBER(SEARCH("Junior",Scherpenzeel!E84)),Scherpenzeel!C84,"")</f>
        <v/>
      </c>
      <c r="AB149">
        <f>IF(AA149="",0,IF(COUNTIF($AA$1:AA149,AA149)=1,1,0))</f>
        <v>0</v>
      </c>
      <c r="AC149" t="str">
        <f>IF(AB149=1,COUNTIF($AB$1:AB149,1),"")</f>
        <v/>
      </c>
    </row>
    <row r="150" spans="1:29" x14ac:dyDescent="0.25">
      <c r="A150" s="13" t="str">
        <f>IFERROR(INDEX($AA$1:$AA$368,MATCH(147,$AC$1:$AC$368,0)),"")</f>
        <v/>
      </c>
      <c r="B150" s="13" t="str">
        <f>IF($A150="","",IF(IFERROR(INDEX(Barneveld!$E$4:$E$36,MATCH($A150,Barneveld!$C$4:$C$36,0)),"")&lt;&gt;"",IFERROR(INDEX(Barneveld!$E$4:$E$36,MATCH($A150,Barneveld!$C$4:$C$36,0)),""),IF(IFERROR(INDEX(Baarn!$F$4:$F$38,MATCH($A150,Baarn!$C$4:$C$38,0)),"")&lt;&gt;"",IFERROR(INDEX(Baarn!$F$4:$F$38,MATCH($A150,Baarn!$C$4:$C$38,0)),""),IF(IFERROR(INDEX(Scherpenzeel!$F$4:$F$103,MATCH($A150,Scherpenzeel!$C$4:$C$103,0)),"")&lt;&gt;"",IFERROR(INDEX(Scherpenzeel!$F$4:$F$103,MATCH($A150,Scherpenzeel!$C$4:$C$103,0)),""),IF(IFERROR(INDEX('4'!$F$4:$F$103,MATCH($A150,'4'!$C$4:$C$103,0)),"")&lt;&gt;"",IFERROR(INDEX('4'!$F$4:$F$103,MATCH($A150,'4'!$C$4:$C$103,0)),""),IFERROR(INDEX('5'!$F$4:$F$103,MATCH($A150,'5'!$C$4:$C$103,0)),""))))))</f>
        <v/>
      </c>
      <c r="C150" s="13" t="str">
        <f>IF($A150="","",IF(IFERROR(INDEX(Barneveld!$D$4:$D$36,MATCH($A150,Barneveld!$C$4:$C$36,0)),"")&lt;&gt;"",IFERROR(INDEX(Barneveld!$D$4:$D$36,MATCH($A150,Barneveld!$C$4:$C$36,0)),""),IF(IFERROR(INDEX(Baarn!$E$4:$E$38,MATCH($A150,Baarn!$C$4:$C$38,0)),"")&lt;&gt;"",IFERROR(INDEX(Baarn!$E$4:$E$38,MATCH($A150,Baarn!$C$4:$C$38,0)),""),IF(IFERROR(INDEX(Scherpenzeel!$E$4:$E$103,MATCH($A150,Scherpenzeel!$C$4:$C$103,0)),"")&lt;&gt;"",IFERROR(INDEX(Scherpenzeel!$E$4:$E$103,MATCH($A150,Scherpenzeel!$C$4:$C$103,0)),""),IF(IFERROR(INDEX('4'!$E$4:$E$103,MATCH($A150,'4'!$C$4:$C$103,0)),"")&lt;&gt;"",IFERROR(INDEX('4'!$E$4:$E$103,MATCH($A150,'4'!$C$4:$C$103,0)),""),IFERROR(INDEX('5'!$E$4:$E$103,MATCH($A150,'5'!$C$4:$C$103,0)),""))))))</f>
        <v/>
      </c>
      <c r="D150" s="24" t="str">
        <f>IF($A150="","",IFERROR(INDEX(Barneveld!$A$4:$A$36,MATCH($A150,Barneveld!$C$4:$C$36,0)),""))</f>
        <v/>
      </c>
      <c r="E150" s="15">
        <f>IF($A150="",0,IFERROR(INDEX(Barneveld!$H$4:$H$36,MATCH($A150,Barneveld!$C$4:$C$36,0)),0))</f>
        <v>0</v>
      </c>
      <c r="F150" s="24" t="str">
        <f>IF($A150="","",IFERROR(INDEX(Baarn!$A$4:$A$38,MATCH($A150,Baarn!$C$4:$C$38,0)),""))</f>
        <v/>
      </c>
      <c r="G150" s="15">
        <f>IF($A150="",0,IFERROR(INDEX(Baarn!$I$4:$I$38,MATCH($A150,Baarn!$C$4:$C$38,0)),0))</f>
        <v>0</v>
      </c>
      <c r="H150" s="24" t="str">
        <f>IF($A150="","",IFERROR(INDEX(Scherpenzeel!$A$4:$A$103,MATCH($A150,Scherpenzeel!$C$4:$C$103,0)),""))</f>
        <v/>
      </c>
      <c r="I150" s="15">
        <f>IF($A150="",0,IFERROR(INDEX(Scherpenzeel!$I$4:$I$103,MATCH($A150,Scherpenzeel!$C$4:$C$103,0)),0))</f>
        <v>0</v>
      </c>
      <c r="J150" s="24" t="str">
        <f>IF($A150="","",IFERROR(INDEX('4'!$A$4:$A$103,MATCH($A150,'4'!$C$4:$C$103,0)),""))</f>
        <v/>
      </c>
      <c r="K150" s="15">
        <f>IF($A150="",0,IFERROR(INDEX('4'!$I$4:$I$103,MATCH($A150,'4'!$C$4:$C$103,0)),0))</f>
        <v>0</v>
      </c>
      <c r="L150" s="24" t="str">
        <f>IF($A150="","",IFERROR(INDEX('5'!$A$4:$A$103,MATCH($A150,'5'!$C$4:$C$103,0)),""))</f>
        <v/>
      </c>
      <c r="M150" s="15">
        <f>IF($A150="",0,IFERROR(INDEX('5'!$I$4:$I$103,MATCH($A150,'5'!$C$4:$C$103,0)),0))</f>
        <v>0</v>
      </c>
      <c r="N150" s="25" t="str">
        <f t="shared" si="8"/>
        <v/>
      </c>
      <c r="O150" s="26" t="str">
        <f t="shared" si="9"/>
        <v/>
      </c>
      <c r="AA150" t="str">
        <f>IF(ISNUMBER(SEARCH("Junior",Scherpenzeel!E85)),Scherpenzeel!C85,"")</f>
        <v/>
      </c>
      <c r="AB150">
        <f>IF(AA150="",0,IF(COUNTIF($AA$1:AA150,AA150)=1,1,0))</f>
        <v>0</v>
      </c>
      <c r="AC150" t="str">
        <f>IF(AB150=1,COUNTIF($AB$1:AB150,1),"")</f>
        <v/>
      </c>
    </row>
    <row r="151" spans="1:29" x14ac:dyDescent="0.25">
      <c r="A151" s="13" t="str">
        <f>IFERROR(INDEX($AA$1:$AA$368,MATCH(148,$AC$1:$AC$368,0)),"")</f>
        <v/>
      </c>
      <c r="B151" s="13" t="str">
        <f>IF($A151="","",IF(IFERROR(INDEX(Barneveld!$E$4:$E$36,MATCH($A151,Barneveld!$C$4:$C$36,0)),"")&lt;&gt;"",IFERROR(INDEX(Barneveld!$E$4:$E$36,MATCH($A151,Barneveld!$C$4:$C$36,0)),""),IF(IFERROR(INDEX(Baarn!$F$4:$F$38,MATCH($A151,Baarn!$C$4:$C$38,0)),"")&lt;&gt;"",IFERROR(INDEX(Baarn!$F$4:$F$38,MATCH($A151,Baarn!$C$4:$C$38,0)),""),IF(IFERROR(INDEX(Scherpenzeel!$F$4:$F$103,MATCH($A151,Scherpenzeel!$C$4:$C$103,0)),"")&lt;&gt;"",IFERROR(INDEX(Scherpenzeel!$F$4:$F$103,MATCH($A151,Scherpenzeel!$C$4:$C$103,0)),""),IF(IFERROR(INDEX('4'!$F$4:$F$103,MATCH($A151,'4'!$C$4:$C$103,0)),"")&lt;&gt;"",IFERROR(INDEX('4'!$F$4:$F$103,MATCH($A151,'4'!$C$4:$C$103,0)),""),IFERROR(INDEX('5'!$F$4:$F$103,MATCH($A151,'5'!$C$4:$C$103,0)),""))))))</f>
        <v/>
      </c>
      <c r="C151" s="13" t="str">
        <f>IF($A151="","",IF(IFERROR(INDEX(Barneveld!$D$4:$D$36,MATCH($A151,Barneveld!$C$4:$C$36,0)),"")&lt;&gt;"",IFERROR(INDEX(Barneveld!$D$4:$D$36,MATCH($A151,Barneveld!$C$4:$C$36,0)),""),IF(IFERROR(INDEX(Baarn!$E$4:$E$38,MATCH($A151,Baarn!$C$4:$C$38,0)),"")&lt;&gt;"",IFERROR(INDEX(Baarn!$E$4:$E$38,MATCH($A151,Baarn!$C$4:$C$38,0)),""),IF(IFERROR(INDEX(Scherpenzeel!$E$4:$E$103,MATCH($A151,Scherpenzeel!$C$4:$C$103,0)),"")&lt;&gt;"",IFERROR(INDEX(Scherpenzeel!$E$4:$E$103,MATCH($A151,Scherpenzeel!$C$4:$C$103,0)),""),IF(IFERROR(INDEX('4'!$E$4:$E$103,MATCH($A151,'4'!$C$4:$C$103,0)),"")&lt;&gt;"",IFERROR(INDEX('4'!$E$4:$E$103,MATCH($A151,'4'!$C$4:$C$103,0)),""),IFERROR(INDEX('5'!$E$4:$E$103,MATCH($A151,'5'!$C$4:$C$103,0)),""))))))</f>
        <v/>
      </c>
      <c r="D151" s="24" t="str">
        <f>IF($A151="","",IFERROR(INDEX(Barneveld!$A$4:$A$36,MATCH($A151,Barneveld!$C$4:$C$36,0)),""))</f>
        <v/>
      </c>
      <c r="E151" s="15">
        <f>IF($A151="",0,IFERROR(INDEX(Barneveld!$H$4:$H$36,MATCH($A151,Barneveld!$C$4:$C$36,0)),0))</f>
        <v>0</v>
      </c>
      <c r="F151" s="24" t="str">
        <f>IF($A151="","",IFERROR(INDEX(Baarn!$A$4:$A$38,MATCH($A151,Baarn!$C$4:$C$38,0)),""))</f>
        <v/>
      </c>
      <c r="G151" s="15">
        <f>IF($A151="",0,IFERROR(INDEX(Baarn!$I$4:$I$38,MATCH($A151,Baarn!$C$4:$C$38,0)),0))</f>
        <v>0</v>
      </c>
      <c r="H151" s="24" t="str">
        <f>IF($A151="","",IFERROR(INDEX(Scherpenzeel!$A$4:$A$103,MATCH($A151,Scherpenzeel!$C$4:$C$103,0)),""))</f>
        <v/>
      </c>
      <c r="I151" s="15">
        <f>IF($A151="",0,IFERROR(INDEX(Scherpenzeel!$I$4:$I$103,MATCH($A151,Scherpenzeel!$C$4:$C$103,0)),0))</f>
        <v>0</v>
      </c>
      <c r="J151" s="24" t="str">
        <f>IF($A151="","",IFERROR(INDEX('4'!$A$4:$A$103,MATCH($A151,'4'!$C$4:$C$103,0)),""))</f>
        <v/>
      </c>
      <c r="K151" s="15">
        <f>IF($A151="",0,IFERROR(INDEX('4'!$I$4:$I$103,MATCH($A151,'4'!$C$4:$C$103,0)),0))</f>
        <v>0</v>
      </c>
      <c r="L151" s="24" t="str">
        <f>IF($A151="","",IFERROR(INDEX('5'!$A$4:$A$103,MATCH($A151,'5'!$C$4:$C$103,0)),""))</f>
        <v/>
      </c>
      <c r="M151" s="15">
        <f>IF($A151="",0,IFERROR(INDEX('5'!$I$4:$I$103,MATCH($A151,'5'!$C$4:$C$103,0)),0))</f>
        <v>0</v>
      </c>
      <c r="N151" s="25" t="str">
        <f t="shared" si="8"/>
        <v/>
      </c>
      <c r="O151" s="26" t="str">
        <f t="shared" si="9"/>
        <v/>
      </c>
      <c r="AA151" t="str">
        <f>IF(ISNUMBER(SEARCH("Junior",Scherpenzeel!E86)),Scherpenzeel!C86,"")</f>
        <v/>
      </c>
      <c r="AB151">
        <f>IF(AA151="",0,IF(COUNTIF($AA$1:AA151,AA151)=1,1,0))</f>
        <v>0</v>
      </c>
      <c r="AC151" t="str">
        <f>IF(AB151=1,COUNTIF($AB$1:AB151,1),"")</f>
        <v/>
      </c>
    </row>
    <row r="152" spans="1:29" x14ac:dyDescent="0.25">
      <c r="A152" s="13" t="str">
        <f>IFERROR(INDEX($AA$1:$AA$368,MATCH(149,$AC$1:$AC$368,0)),"")</f>
        <v/>
      </c>
      <c r="B152" s="13" t="str">
        <f>IF($A152="","",IF(IFERROR(INDEX(Barneveld!$E$4:$E$36,MATCH($A152,Barneveld!$C$4:$C$36,0)),"")&lt;&gt;"",IFERROR(INDEX(Barneveld!$E$4:$E$36,MATCH($A152,Barneveld!$C$4:$C$36,0)),""),IF(IFERROR(INDEX(Baarn!$F$4:$F$38,MATCH($A152,Baarn!$C$4:$C$38,0)),"")&lt;&gt;"",IFERROR(INDEX(Baarn!$F$4:$F$38,MATCH($A152,Baarn!$C$4:$C$38,0)),""),IF(IFERROR(INDEX(Scherpenzeel!$F$4:$F$103,MATCH($A152,Scherpenzeel!$C$4:$C$103,0)),"")&lt;&gt;"",IFERROR(INDEX(Scherpenzeel!$F$4:$F$103,MATCH($A152,Scherpenzeel!$C$4:$C$103,0)),""),IF(IFERROR(INDEX('4'!$F$4:$F$103,MATCH($A152,'4'!$C$4:$C$103,0)),"")&lt;&gt;"",IFERROR(INDEX('4'!$F$4:$F$103,MATCH($A152,'4'!$C$4:$C$103,0)),""),IFERROR(INDEX('5'!$F$4:$F$103,MATCH($A152,'5'!$C$4:$C$103,0)),""))))))</f>
        <v/>
      </c>
      <c r="C152" s="13" t="str">
        <f>IF($A152="","",IF(IFERROR(INDEX(Barneveld!$D$4:$D$36,MATCH($A152,Barneveld!$C$4:$C$36,0)),"")&lt;&gt;"",IFERROR(INDEX(Barneveld!$D$4:$D$36,MATCH($A152,Barneveld!$C$4:$C$36,0)),""),IF(IFERROR(INDEX(Baarn!$E$4:$E$38,MATCH($A152,Baarn!$C$4:$C$38,0)),"")&lt;&gt;"",IFERROR(INDEX(Baarn!$E$4:$E$38,MATCH($A152,Baarn!$C$4:$C$38,0)),""),IF(IFERROR(INDEX(Scherpenzeel!$E$4:$E$103,MATCH($A152,Scherpenzeel!$C$4:$C$103,0)),"")&lt;&gt;"",IFERROR(INDEX(Scherpenzeel!$E$4:$E$103,MATCH($A152,Scherpenzeel!$C$4:$C$103,0)),""),IF(IFERROR(INDEX('4'!$E$4:$E$103,MATCH($A152,'4'!$C$4:$C$103,0)),"")&lt;&gt;"",IFERROR(INDEX('4'!$E$4:$E$103,MATCH($A152,'4'!$C$4:$C$103,0)),""),IFERROR(INDEX('5'!$E$4:$E$103,MATCH($A152,'5'!$C$4:$C$103,0)),""))))))</f>
        <v/>
      </c>
      <c r="D152" s="24" t="str">
        <f>IF($A152="","",IFERROR(INDEX(Barneveld!$A$4:$A$36,MATCH($A152,Barneveld!$C$4:$C$36,0)),""))</f>
        <v/>
      </c>
      <c r="E152" s="15">
        <f>IF($A152="",0,IFERROR(INDEX(Barneveld!$H$4:$H$36,MATCH($A152,Barneveld!$C$4:$C$36,0)),0))</f>
        <v>0</v>
      </c>
      <c r="F152" s="24" t="str">
        <f>IF($A152="","",IFERROR(INDEX(Baarn!$A$4:$A$38,MATCH($A152,Baarn!$C$4:$C$38,0)),""))</f>
        <v/>
      </c>
      <c r="G152" s="15">
        <f>IF($A152="",0,IFERROR(INDEX(Baarn!$I$4:$I$38,MATCH($A152,Baarn!$C$4:$C$38,0)),0))</f>
        <v>0</v>
      </c>
      <c r="H152" s="24" t="str">
        <f>IF($A152="","",IFERROR(INDEX(Scherpenzeel!$A$4:$A$103,MATCH($A152,Scherpenzeel!$C$4:$C$103,0)),""))</f>
        <v/>
      </c>
      <c r="I152" s="15">
        <f>IF($A152="",0,IFERROR(INDEX(Scherpenzeel!$I$4:$I$103,MATCH($A152,Scherpenzeel!$C$4:$C$103,0)),0))</f>
        <v>0</v>
      </c>
      <c r="J152" s="24" t="str">
        <f>IF($A152="","",IFERROR(INDEX('4'!$A$4:$A$103,MATCH($A152,'4'!$C$4:$C$103,0)),""))</f>
        <v/>
      </c>
      <c r="K152" s="15">
        <f>IF($A152="",0,IFERROR(INDEX('4'!$I$4:$I$103,MATCH($A152,'4'!$C$4:$C$103,0)),0))</f>
        <v>0</v>
      </c>
      <c r="L152" s="24" t="str">
        <f>IF($A152="","",IFERROR(INDEX('5'!$A$4:$A$103,MATCH($A152,'5'!$C$4:$C$103,0)),""))</f>
        <v/>
      </c>
      <c r="M152" s="15">
        <f>IF($A152="",0,IFERROR(INDEX('5'!$I$4:$I$103,MATCH($A152,'5'!$C$4:$C$103,0)),0))</f>
        <v>0</v>
      </c>
      <c r="N152" s="25" t="str">
        <f t="shared" si="8"/>
        <v/>
      </c>
      <c r="O152" s="26" t="str">
        <f t="shared" si="9"/>
        <v/>
      </c>
      <c r="AA152" t="str">
        <f>IF(ISNUMBER(SEARCH("Junior",Scherpenzeel!E87)),Scherpenzeel!C87,"")</f>
        <v/>
      </c>
      <c r="AB152">
        <f>IF(AA152="",0,IF(COUNTIF($AA$1:AA152,AA152)=1,1,0))</f>
        <v>0</v>
      </c>
      <c r="AC152" t="str">
        <f>IF(AB152=1,COUNTIF($AB$1:AB152,1),"")</f>
        <v/>
      </c>
    </row>
    <row r="153" spans="1:29" x14ac:dyDescent="0.25">
      <c r="A153" s="13" t="str">
        <f>IFERROR(INDEX($AA$1:$AA$368,MATCH(150,$AC$1:$AC$368,0)),"")</f>
        <v/>
      </c>
      <c r="B153" s="13" t="str">
        <f>IF($A153="","",IF(IFERROR(INDEX(Barneveld!$E$4:$E$36,MATCH($A153,Barneveld!$C$4:$C$36,0)),"")&lt;&gt;"",IFERROR(INDEX(Barneveld!$E$4:$E$36,MATCH($A153,Barneveld!$C$4:$C$36,0)),""),IF(IFERROR(INDEX(Baarn!$F$4:$F$38,MATCH($A153,Baarn!$C$4:$C$38,0)),"")&lt;&gt;"",IFERROR(INDEX(Baarn!$F$4:$F$38,MATCH($A153,Baarn!$C$4:$C$38,0)),""),IF(IFERROR(INDEX(Scherpenzeel!$F$4:$F$103,MATCH($A153,Scherpenzeel!$C$4:$C$103,0)),"")&lt;&gt;"",IFERROR(INDEX(Scherpenzeel!$F$4:$F$103,MATCH($A153,Scherpenzeel!$C$4:$C$103,0)),""),IF(IFERROR(INDEX('4'!$F$4:$F$103,MATCH($A153,'4'!$C$4:$C$103,0)),"")&lt;&gt;"",IFERROR(INDEX('4'!$F$4:$F$103,MATCH($A153,'4'!$C$4:$C$103,0)),""),IFERROR(INDEX('5'!$F$4:$F$103,MATCH($A153,'5'!$C$4:$C$103,0)),""))))))</f>
        <v/>
      </c>
      <c r="C153" s="13" t="str">
        <f>IF($A153="","",IF(IFERROR(INDEX(Barneveld!$D$4:$D$36,MATCH($A153,Barneveld!$C$4:$C$36,0)),"")&lt;&gt;"",IFERROR(INDEX(Barneveld!$D$4:$D$36,MATCH($A153,Barneveld!$C$4:$C$36,0)),""),IF(IFERROR(INDEX(Baarn!$E$4:$E$38,MATCH($A153,Baarn!$C$4:$C$38,0)),"")&lt;&gt;"",IFERROR(INDEX(Baarn!$E$4:$E$38,MATCH($A153,Baarn!$C$4:$C$38,0)),""),IF(IFERROR(INDEX(Scherpenzeel!$E$4:$E$103,MATCH($A153,Scherpenzeel!$C$4:$C$103,0)),"")&lt;&gt;"",IFERROR(INDEX(Scherpenzeel!$E$4:$E$103,MATCH($A153,Scherpenzeel!$C$4:$C$103,0)),""),IF(IFERROR(INDEX('4'!$E$4:$E$103,MATCH($A153,'4'!$C$4:$C$103,0)),"")&lt;&gt;"",IFERROR(INDEX('4'!$E$4:$E$103,MATCH($A153,'4'!$C$4:$C$103,0)),""),IFERROR(INDEX('5'!$E$4:$E$103,MATCH($A153,'5'!$C$4:$C$103,0)),""))))))</f>
        <v/>
      </c>
      <c r="D153" s="24" t="str">
        <f>IF($A153="","",IFERROR(INDEX(Barneveld!$A$4:$A$36,MATCH($A153,Barneveld!$C$4:$C$36,0)),""))</f>
        <v/>
      </c>
      <c r="E153" s="15">
        <f>IF($A153="",0,IFERROR(INDEX(Barneveld!$H$4:$H$36,MATCH($A153,Barneveld!$C$4:$C$36,0)),0))</f>
        <v>0</v>
      </c>
      <c r="F153" s="24" t="str">
        <f>IF($A153="","",IFERROR(INDEX(Baarn!$A$4:$A$38,MATCH($A153,Baarn!$C$4:$C$38,0)),""))</f>
        <v/>
      </c>
      <c r="G153" s="15">
        <f>IF($A153="",0,IFERROR(INDEX(Baarn!$I$4:$I$38,MATCH($A153,Baarn!$C$4:$C$38,0)),0))</f>
        <v>0</v>
      </c>
      <c r="H153" s="24" t="str">
        <f>IF($A153="","",IFERROR(INDEX(Scherpenzeel!$A$4:$A$103,MATCH($A153,Scherpenzeel!$C$4:$C$103,0)),""))</f>
        <v/>
      </c>
      <c r="I153" s="15">
        <f>IF($A153="",0,IFERROR(INDEX(Scherpenzeel!$I$4:$I$103,MATCH($A153,Scherpenzeel!$C$4:$C$103,0)),0))</f>
        <v>0</v>
      </c>
      <c r="J153" s="24" t="str">
        <f>IF($A153="","",IFERROR(INDEX('4'!$A$4:$A$103,MATCH($A153,'4'!$C$4:$C$103,0)),""))</f>
        <v/>
      </c>
      <c r="K153" s="15">
        <f>IF($A153="",0,IFERROR(INDEX('4'!$I$4:$I$103,MATCH($A153,'4'!$C$4:$C$103,0)),0))</f>
        <v>0</v>
      </c>
      <c r="L153" s="24" t="str">
        <f>IF($A153="","",IFERROR(INDEX('5'!$A$4:$A$103,MATCH($A153,'5'!$C$4:$C$103,0)),""))</f>
        <v/>
      </c>
      <c r="M153" s="15">
        <f>IF($A153="",0,IFERROR(INDEX('5'!$I$4:$I$103,MATCH($A153,'5'!$C$4:$C$103,0)),0))</f>
        <v>0</v>
      </c>
      <c r="N153" s="25" t="str">
        <f t="shared" si="8"/>
        <v/>
      </c>
      <c r="O153" s="26" t="str">
        <f t="shared" si="9"/>
        <v/>
      </c>
      <c r="AA153" t="str">
        <f>IF(ISNUMBER(SEARCH("Junior",Scherpenzeel!E88)),Scherpenzeel!C88,"")</f>
        <v/>
      </c>
      <c r="AB153">
        <f>IF(AA153="",0,IF(COUNTIF($AA$1:AA153,AA153)=1,1,0))</f>
        <v>0</v>
      </c>
      <c r="AC153" t="str">
        <f>IF(AB153=1,COUNTIF($AB$1:AB153,1),"")</f>
        <v/>
      </c>
    </row>
    <row r="154" spans="1:29" x14ac:dyDescent="0.25">
      <c r="A154" s="13" t="str">
        <f>IFERROR(INDEX($AA$1:$AA$368,MATCH(151,$AC$1:$AC$368,0)),"")</f>
        <v/>
      </c>
      <c r="B154" s="13" t="str">
        <f>IF($A154="","",IF(IFERROR(INDEX(Barneveld!$E$4:$E$36,MATCH($A154,Barneveld!$C$4:$C$36,0)),"")&lt;&gt;"",IFERROR(INDEX(Barneveld!$E$4:$E$36,MATCH($A154,Barneveld!$C$4:$C$36,0)),""),IF(IFERROR(INDEX(Baarn!$F$4:$F$38,MATCH($A154,Baarn!$C$4:$C$38,0)),"")&lt;&gt;"",IFERROR(INDEX(Baarn!$F$4:$F$38,MATCH($A154,Baarn!$C$4:$C$38,0)),""),IF(IFERROR(INDEX(Scherpenzeel!$F$4:$F$103,MATCH($A154,Scherpenzeel!$C$4:$C$103,0)),"")&lt;&gt;"",IFERROR(INDEX(Scherpenzeel!$F$4:$F$103,MATCH($A154,Scherpenzeel!$C$4:$C$103,0)),""),IF(IFERROR(INDEX('4'!$F$4:$F$103,MATCH($A154,'4'!$C$4:$C$103,0)),"")&lt;&gt;"",IFERROR(INDEX('4'!$F$4:$F$103,MATCH($A154,'4'!$C$4:$C$103,0)),""),IFERROR(INDEX('5'!$F$4:$F$103,MATCH($A154,'5'!$C$4:$C$103,0)),""))))))</f>
        <v/>
      </c>
      <c r="C154" s="13" t="str">
        <f>IF($A154="","",IF(IFERROR(INDEX(Barneveld!$D$4:$D$36,MATCH($A154,Barneveld!$C$4:$C$36,0)),"")&lt;&gt;"",IFERROR(INDEX(Barneveld!$D$4:$D$36,MATCH($A154,Barneveld!$C$4:$C$36,0)),""),IF(IFERROR(INDEX(Baarn!$E$4:$E$38,MATCH($A154,Baarn!$C$4:$C$38,0)),"")&lt;&gt;"",IFERROR(INDEX(Baarn!$E$4:$E$38,MATCH($A154,Baarn!$C$4:$C$38,0)),""),IF(IFERROR(INDEX(Scherpenzeel!$E$4:$E$103,MATCH($A154,Scherpenzeel!$C$4:$C$103,0)),"")&lt;&gt;"",IFERROR(INDEX(Scherpenzeel!$E$4:$E$103,MATCH($A154,Scherpenzeel!$C$4:$C$103,0)),""),IF(IFERROR(INDEX('4'!$E$4:$E$103,MATCH($A154,'4'!$C$4:$C$103,0)),"")&lt;&gt;"",IFERROR(INDEX('4'!$E$4:$E$103,MATCH($A154,'4'!$C$4:$C$103,0)),""),IFERROR(INDEX('5'!$E$4:$E$103,MATCH($A154,'5'!$C$4:$C$103,0)),""))))))</f>
        <v/>
      </c>
      <c r="D154" s="24" t="str">
        <f>IF($A154="","",IFERROR(INDEX(Barneveld!$A$4:$A$36,MATCH($A154,Barneveld!$C$4:$C$36,0)),""))</f>
        <v/>
      </c>
      <c r="E154" s="15">
        <f>IF($A154="",0,IFERROR(INDEX(Barneveld!$H$4:$H$36,MATCH($A154,Barneveld!$C$4:$C$36,0)),0))</f>
        <v>0</v>
      </c>
      <c r="F154" s="24" t="str">
        <f>IF($A154="","",IFERROR(INDEX(Baarn!$A$4:$A$38,MATCH($A154,Baarn!$C$4:$C$38,0)),""))</f>
        <v/>
      </c>
      <c r="G154" s="15">
        <f>IF($A154="",0,IFERROR(INDEX(Baarn!$I$4:$I$38,MATCH($A154,Baarn!$C$4:$C$38,0)),0))</f>
        <v>0</v>
      </c>
      <c r="H154" s="24" t="str">
        <f>IF($A154="","",IFERROR(INDEX(Scherpenzeel!$A$4:$A$103,MATCH($A154,Scherpenzeel!$C$4:$C$103,0)),""))</f>
        <v/>
      </c>
      <c r="I154" s="15">
        <f>IF($A154="",0,IFERROR(INDEX(Scherpenzeel!$I$4:$I$103,MATCH($A154,Scherpenzeel!$C$4:$C$103,0)),0))</f>
        <v>0</v>
      </c>
      <c r="J154" s="24" t="str">
        <f>IF($A154="","",IFERROR(INDEX('4'!$A$4:$A$103,MATCH($A154,'4'!$C$4:$C$103,0)),""))</f>
        <v/>
      </c>
      <c r="K154" s="15">
        <f>IF($A154="",0,IFERROR(INDEX('4'!$I$4:$I$103,MATCH($A154,'4'!$C$4:$C$103,0)),0))</f>
        <v>0</v>
      </c>
      <c r="L154" s="24" t="str">
        <f>IF($A154="","",IFERROR(INDEX('5'!$A$4:$A$103,MATCH($A154,'5'!$C$4:$C$103,0)),""))</f>
        <v/>
      </c>
      <c r="M154" s="15">
        <f>IF($A154="",0,IFERROR(INDEX('5'!$I$4:$I$103,MATCH($A154,'5'!$C$4:$C$103,0)),0))</f>
        <v>0</v>
      </c>
      <c r="N154" s="25" t="str">
        <f t="shared" si="8"/>
        <v/>
      </c>
      <c r="O154" s="26" t="str">
        <f t="shared" si="9"/>
        <v/>
      </c>
      <c r="AA154" t="str">
        <f>IF(ISNUMBER(SEARCH("Junior",Scherpenzeel!E89)),Scherpenzeel!C89,"")</f>
        <v/>
      </c>
      <c r="AB154">
        <f>IF(AA154="",0,IF(COUNTIF($AA$1:AA154,AA154)=1,1,0))</f>
        <v>0</v>
      </c>
      <c r="AC154" t="str">
        <f>IF(AB154=1,COUNTIF($AB$1:AB154,1),"")</f>
        <v/>
      </c>
    </row>
    <row r="155" spans="1:29" x14ac:dyDescent="0.25">
      <c r="A155" s="13" t="str">
        <f>IFERROR(INDEX($AA$1:$AA$368,MATCH(152,$AC$1:$AC$368,0)),"")</f>
        <v/>
      </c>
      <c r="B155" s="13" t="str">
        <f>IF($A155="","",IF(IFERROR(INDEX(Barneveld!$E$4:$E$36,MATCH($A155,Barneveld!$C$4:$C$36,0)),"")&lt;&gt;"",IFERROR(INDEX(Barneveld!$E$4:$E$36,MATCH($A155,Barneveld!$C$4:$C$36,0)),""),IF(IFERROR(INDEX(Baarn!$F$4:$F$38,MATCH($A155,Baarn!$C$4:$C$38,0)),"")&lt;&gt;"",IFERROR(INDEX(Baarn!$F$4:$F$38,MATCH($A155,Baarn!$C$4:$C$38,0)),""),IF(IFERROR(INDEX(Scherpenzeel!$F$4:$F$103,MATCH($A155,Scherpenzeel!$C$4:$C$103,0)),"")&lt;&gt;"",IFERROR(INDEX(Scherpenzeel!$F$4:$F$103,MATCH($A155,Scherpenzeel!$C$4:$C$103,0)),""),IF(IFERROR(INDEX('4'!$F$4:$F$103,MATCH($A155,'4'!$C$4:$C$103,0)),"")&lt;&gt;"",IFERROR(INDEX('4'!$F$4:$F$103,MATCH($A155,'4'!$C$4:$C$103,0)),""),IFERROR(INDEX('5'!$F$4:$F$103,MATCH($A155,'5'!$C$4:$C$103,0)),""))))))</f>
        <v/>
      </c>
      <c r="C155" s="13" t="str">
        <f>IF($A155="","",IF(IFERROR(INDEX(Barneveld!$D$4:$D$36,MATCH($A155,Barneveld!$C$4:$C$36,0)),"")&lt;&gt;"",IFERROR(INDEX(Barneveld!$D$4:$D$36,MATCH($A155,Barneveld!$C$4:$C$36,0)),""),IF(IFERROR(INDEX(Baarn!$E$4:$E$38,MATCH($A155,Baarn!$C$4:$C$38,0)),"")&lt;&gt;"",IFERROR(INDEX(Baarn!$E$4:$E$38,MATCH($A155,Baarn!$C$4:$C$38,0)),""),IF(IFERROR(INDEX(Scherpenzeel!$E$4:$E$103,MATCH($A155,Scherpenzeel!$C$4:$C$103,0)),"")&lt;&gt;"",IFERROR(INDEX(Scherpenzeel!$E$4:$E$103,MATCH($A155,Scherpenzeel!$C$4:$C$103,0)),""),IF(IFERROR(INDEX('4'!$E$4:$E$103,MATCH($A155,'4'!$C$4:$C$103,0)),"")&lt;&gt;"",IFERROR(INDEX('4'!$E$4:$E$103,MATCH($A155,'4'!$C$4:$C$103,0)),""),IFERROR(INDEX('5'!$E$4:$E$103,MATCH($A155,'5'!$C$4:$C$103,0)),""))))))</f>
        <v/>
      </c>
      <c r="D155" s="24" t="str">
        <f>IF($A155="","",IFERROR(INDEX(Barneveld!$A$4:$A$36,MATCH($A155,Barneveld!$C$4:$C$36,0)),""))</f>
        <v/>
      </c>
      <c r="E155" s="15">
        <f>IF($A155="",0,IFERROR(INDEX(Barneveld!$H$4:$H$36,MATCH($A155,Barneveld!$C$4:$C$36,0)),0))</f>
        <v>0</v>
      </c>
      <c r="F155" s="24" t="str">
        <f>IF($A155="","",IFERROR(INDEX(Baarn!$A$4:$A$38,MATCH($A155,Baarn!$C$4:$C$38,0)),""))</f>
        <v/>
      </c>
      <c r="G155" s="15">
        <f>IF($A155="",0,IFERROR(INDEX(Baarn!$I$4:$I$38,MATCH($A155,Baarn!$C$4:$C$38,0)),0))</f>
        <v>0</v>
      </c>
      <c r="H155" s="24" t="str">
        <f>IF($A155="","",IFERROR(INDEX(Scherpenzeel!$A$4:$A$103,MATCH($A155,Scherpenzeel!$C$4:$C$103,0)),""))</f>
        <v/>
      </c>
      <c r="I155" s="15">
        <f>IF($A155="",0,IFERROR(INDEX(Scherpenzeel!$I$4:$I$103,MATCH($A155,Scherpenzeel!$C$4:$C$103,0)),0))</f>
        <v>0</v>
      </c>
      <c r="J155" s="24" t="str">
        <f>IF($A155="","",IFERROR(INDEX('4'!$A$4:$A$103,MATCH($A155,'4'!$C$4:$C$103,0)),""))</f>
        <v/>
      </c>
      <c r="K155" s="15">
        <f>IF($A155="",0,IFERROR(INDEX('4'!$I$4:$I$103,MATCH($A155,'4'!$C$4:$C$103,0)),0))</f>
        <v>0</v>
      </c>
      <c r="L155" s="24" t="str">
        <f>IF($A155="","",IFERROR(INDEX('5'!$A$4:$A$103,MATCH($A155,'5'!$C$4:$C$103,0)),""))</f>
        <v/>
      </c>
      <c r="M155" s="15">
        <f>IF($A155="",0,IFERROR(INDEX('5'!$I$4:$I$103,MATCH($A155,'5'!$C$4:$C$103,0)),0))</f>
        <v>0</v>
      </c>
      <c r="N155" s="25" t="str">
        <f t="shared" si="8"/>
        <v/>
      </c>
      <c r="O155" s="26" t="str">
        <f t="shared" si="9"/>
        <v/>
      </c>
      <c r="AA155" t="str">
        <f>IF(ISNUMBER(SEARCH("Junior",Scherpenzeel!E90)),Scherpenzeel!C90,"")</f>
        <v/>
      </c>
      <c r="AB155">
        <f>IF(AA155="",0,IF(COUNTIF($AA$1:AA155,AA155)=1,1,0))</f>
        <v>0</v>
      </c>
      <c r="AC155" t="str">
        <f>IF(AB155=1,COUNTIF($AB$1:AB155,1),"")</f>
        <v/>
      </c>
    </row>
    <row r="156" spans="1:29" x14ac:dyDescent="0.25">
      <c r="A156" s="13" t="str">
        <f>IFERROR(INDEX($AA$1:$AA$368,MATCH(153,$AC$1:$AC$368,0)),"")</f>
        <v/>
      </c>
      <c r="B156" s="13" t="str">
        <f>IF($A156="","",IF(IFERROR(INDEX(Barneveld!$E$4:$E$36,MATCH($A156,Barneveld!$C$4:$C$36,0)),"")&lt;&gt;"",IFERROR(INDEX(Barneveld!$E$4:$E$36,MATCH($A156,Barneveld!$C$4:$C$36,0)),""),IF(IFERROR(INDEX(Baarn!$F$4:$F$38,MATCH($A156,Baarn!$C$4:$C$38,0)),"")&lt;&gt;"",IFERROR(INDEX(Baarn!$F$4:$F$38,MATCH($A156,Baarn!$C$4:$C$38,0)),""),IF(IFERROR(INDEX(Scherpenzeel!$F$4:$F$103,MATCH($A156,Scherpenzeel!$C$4:$C$103,0)),"")&lt;&gt;"",IFERROR(INDEX(Scherpenzeel!$F$4:$F$103,MATCH($A156,Scherpenzeel!$C$4:$C$103,0)),""),IF(IFERROR(INDEX('4'!$F$4:$F$103,MATCH($A156,'4'!$C$4:$C$103,0)),"")&lt;&gt;"",IFERROR(INDEX('4'!$F$4:$F$103,MATCH($A156,'4'!$C$4:$C$103,0)),""),IFERROR(INDEX('5'!$F$4:$F$103,MATCH($A156,'5'!$C$4:$C$103,0)),""))))))</f>
        <v/>
      </c>
      <c r="C156" s="13" t="str">
        <f>IF($A156="","",IF(IFERROR(INDEX(Barneveld!$D$4:$D$36,MATCH($A156,Barneveld!$C$4:$C$36,0)),"")&lt;&gt;"",IFERROR(INDEX(Barneveld!$D$4:$D$36,MATCH($A156,Barneveld!$C$4:$C$36,0)),""),IF(IFERROR(INDEX(Baarn!$E$4:$E$38,MATCH($A156,Baarn!$C$4:$C$38,0)),"")&lt;&gt;"",IFERROR(INDEX(Baarn!$E$4:$E$38,MATCH($A156,Baarn!$C$4:$C$38,0)),""),IF(IFERROR(INDEX(Scherpenzeel!$E$4:$E$103,MATCH($A156,Scherpenzeel!$C$4:$C$103,0)),"")&lt;&gt;"",IFERROR(INDEX(Scherpenzeel!$E$4:$E$103,MATCH($A156,Scherpenzeel!$C$4:$C$103,0)),""),IF(IFERROR(INDEX('4'!$E$4:$E$103,MATCH($A156,'4'!$C$4:$C$103,0)),"")&lt;&gt;"",IFERROR(INDEX('4'!$E$4:$E$103,MATCH($A156,'4'!$C$4:$C$103,0)),""),IFERROR(INDEX('5'!$E$4:$E$103,MATCH($A156,'5'!$C$4:$C$103,0)),""))))))</f>
        <v/>
      </c>
      <c r="D156" s="24" t="str">
        <f>IF($A156="","",IFERROR(INDEX(Barneveld!$A$4:$A$36,MATCH($A156,Barneveld!$C$4:$C$36,0)),""))</f>
        <v/>
      </c>
      <c r="E156" s="15">
        <f>IF($A156="",0,IFERROR(INDEX(Barneveld!$H$4:$H$36,MATCH($A156,Barneveld!$C$4:$C$36,0)),0))</f>
        <v>0</v>
      </c>
      <c r="F156" s="24" t="str">
        <f>IF($A156="","",IFERROR(INDEX(Baarn!$A$4:$A$38,MATCH($A156,Baarn!$C$4:$C$38,0)),""))</f>
        <v/>
      </c>
      <c r="G156" s="15">
        <f>IF($A156="",0,IFERROR(INDEX(Baarn!$I$4:$I$38,MATCH($A156,Baarn!$C$4:$C$38,0)),0))</f>
        <v>0</v>
      </c>
      <c r="H156" s="24" t="str">
        <f>IF($A156="","",IFERROR(INDEX(Scherpenzeel!$A$4:$A$103,MATCH($A156,Scherpenzeel!$C$4:$C$103,0)),""))</f>
        <v/>
      </c>
      <c r="I156" s="15">
        <f>IF($A156="",0,IFERROR(INDEX(Scherpenzeel!$I$4:$I$103,MATCH($A156,Scherpenzeel!$C$4:$C$103,0)),0))</f>
        <v>0</v>
      </c>
      <c r="J156" s="24" t="str">
        <f>IF($A156="","",IFERROR(INDEX('4'!$A$4:$A$103,MATCH($A156,'4'!$C$4:$C$103,0)),""))</f>
        <v/>
      </c>
      <c r="K156" s="15">
        <f>IF($A156="",0,IFERROR(INDEX('4'!$I$4:$I$103,MATCH($A156,'4'!$C$4:$C$103,0)),0))</f>
        <v>0</v>
      </c>
      <c r="L156" s="24" t="str">
        <f>IF($A156="","",IFERROR(INDEX('5'!$A$4:$A$103,MATCH($A156,'5'!$C$4:$C$103,0)),""))</f>
        <v/>
      </c>
      <c r="M156" s="15">
        <f>IF($A156="",0,IFERROR(INDEX('5'!$I$4:$I$103,MATCH($A156,'5'!$C$4:$C$103,0)),0))</f>
        <v>0</v>
      </c>
      <c r="N156" s="25" t="str">
        <f t="shared" si="8"/>
        <v/>
      </c>
      <c r="O156" s="26" t="str">
        <f t="shared" si="9"/>
        <v/>
      </c>
      <c r="AA156" t="str">
        <f>IF(ISNUMBER(SEARCH("Junior",Scherpenzeel!E91)),Scherpenzeel!C91,"")</f>
        <v/>
      </c>
      <c r="AB156">
        <f>IF(AA156="",0,IF(COUNTIF($AA$1:AA156,AA156)=1,1,0))</f>
        <v>0</v>
      </c>
      <c r="AC156" t="str">
        <f>IF(AB156=1,COUNTIF($AB$1:AB156,1),"")</f>
        <v/>
      </c>
    </row>
    <row r="157" spans="1:29" x14ac:dyDescent="0.25">
      <c r="A157" s="13" t="str">
        <f>IFERROR(INDEX($AA$1:$AA$368,MATCH(154,$AC$1:$AC$368,0)),"")</f>
        <v/>
      </c>
      <c r="B157" s="13" t="str">
        <f>IF($A157="","",IF(IFERROR(INDEX(Barneveld!$E$4:$E$36,MATCH($A157,Barneveld!$C$4:$C$36,0)),"")&lt;&gt;"",IFERROR(INDEX(Barneveld!$E$4:$E$36,MATCH($A157,Barneveld!$C$4:$C$36,0)),""),IF(IFERROR(INDEX(Baarn!$F$4:$F$38,MATCH($A157,Baarn!$C$4:$C$38,0)),"")&lt;&gt;"",IFERROR(INDEX(Baarn!$F$4:$F$38,MATCH($A157,Baarn!$C$4:$C$38,0)),""),IF(IFERROR(INDEX(Scherpenzeel!$F$4:$F$103,MATCH($A157,Scherpenzeel!$C$4:$C$103,0)),"")&lt;&gt;"",IFERROR(INDEX(Scherpenzeel!$F$4:$F$103,MATCH($A157,Scherpenzeel!$C$4:$C$103,0)),""),IF(IFERROR(INDEX('4'!$F$4:$F$103,MATCH($A157,'4'!$C$4:$C$103,0)),"")&lt;&gt;"",IFERROR(INDEX('4'!$F$4:$F$103,MATCH($A157,'4'!$C$4:$C$103,0)),""),IFERROR(INDEX('5'!$F$4:$F$103,MATCH($A157,'5'!$C$4:$C$103,0)),""))))))</f>
        <v/>
      </c>
      <c r="C157" s="13" t="str">
        <f>IF($A157="","",IF(IFERROR(INDEX(Barneveld!$D$4:$D$36,MATCH($A157,Barneveld!$C$4:$C$36,0)),"")&lt;&gt;"",IFERROR(INDEX(Barneveld!$D$4:$D$36,MATCH($A157,Barneveld!$C$4:$C$36,0)),""),IF(IFERROR(INDEX(Baarn!$E$4:$E$38,MATCH($A157,Baarn!$C$4:$C$38,0)),"")&lt;&gt;"",IFERROR(INDEX(Baarn!$E$4:$E$38,MATCH($A157,Baarn!$C$4:$C$38,0)),""),IF(IFERROR(INDEX(Scherpenzeel!$E$4:$E$103,MATCH($A157,Scherpenzeel!$C$4:$C$103,0)),"")&lt;&gt;"",IFERROR(INDEX(Scherpenzeel!$E$4:$E$103,MATCH($A157,Scherpenzeel!$C$4:$C$103,0)),""),IF(IFERROR(INDEX('4'!$E$4:$E$103,MATCH($A157,'4'!$C$4:$C$103,0)),"")&lt;&gt;"",IFERROR(INDEX('4'!$E$4:$E$103,MATCH($A157,'4'!$C$4:$C$103,0)),""),IFERROR(INDEX('5'!$E$4:$E$103,MATCH($A157,'5'!$C$4:$C$103,0)),""))))))</f>
        <v/>
      </c>
      <c r="D157" s="24" t="str">
        <f>IF($A157="","",IFERROR(INDEX(Barneveld!$A$4:$A$36,MATCH($A157,Barneveld!$C$4:$C$36,0)),""))</f>
        <v/>
      </c>
      <c r="E157" s="15">
        <f>IF($A157="",0,IFERROR(INDEX(Barneveld!$H$4:$H$36,MATCH($A157,Barneveld!$C$4:$C$36,0)),0))</f>
        <v>0</v>
      </c>
      <c r="F157" s="24" t="str">
        <f>IF($A157="","",IFERROR(INDEX(Baarn!$A$4:$A$38,MATCH($A157,Baarn!$C$4:$C$38,0)),""))</f>
        <v/>
      </c>
      <c r="G157" s="15">
        <f>IF($A157="",0,IFERROR(INDEX(Baarn!$I$4:$I$38,MATCH($A157,Baarn!$C$4:$C$38,0)),0))</f>
        <v>0</v>
      </c>
      <c r="H157" s="24" t="str">
        <f>IF($A157="","",IFERROR(INDEX(Scherpenzeel!$A$4:$A$103,MATCH($A157,Scherpenzeel!$C$4:$C$103,0)),""))</f>
        <v/>
      </c>
      <c r="I157" s="15">
        <f>IF($A157="",0,IFERROR(INDEX(Scherpenzeel!$I$4:$I$103,MATCH($A157,Scherpenzeel!$C$4:$C$103,0)),0))</f>
        <v>0</v>
      </c>
      <c r="J157" s="24" t="str">
        <f>IF($A157="","",IFERROR(INDEX('4'!$A$4:$A$103,MATCH($A157,'4'!$C$4:$C$103,0)),""))</f>
        <v/>
      </c>
      <c r="K157" s="15">
        <f>IF($A157="",0,IFERROR(INDEX('4'!$I$4:$I$103,MATCH($A157,'4'!$C$4:$C$103,0)),0))</f>
        <v>0</v>
      </c>
      <c r="L157" s="24" t="str">
        <f>IF($A157="","",IFERROR(INDEX('5'!$A$4:$A$103,MATCH($A157,'5'!$C$4:$C$103,0)),""))</f>
        <v/>
      </c>
      <c r="M157" s="15">
        <f>IF($A157="",0,IFERROR(INDEX('5'!$I$4:$I$103,MATCH($A157,'5'!$C$4:$C$103,0)),0))</f>
        <v>0</v>
      </c>
      <c r="N157" s="25" t="str">
        <f t="shared" si="8"/>
        <v/>
      </c>
      <c r="O157" s="26" t="str">
        <f t="shared" si="9"/>
        <v/>
      </c>
      <c r="AA157" t="str">
        <f>IF(ISNUMBER(SEARCH("Junior",Scherpenzeel!E92)),Scherpenzeel!C92,"")</f>
        <v/>
      </c>
      <c r="AB157">
        <f>IF(AA157="",0,IF(COUNTIF($AA$1:AA157,AA157)=1,1,0))</f>
        <v>0</v>
      </c>
      <c r="AC157" t="str">
        <f>IF(AB157=1,COUNTIF($AB$1:AB157,1),"")</f>
        <v/>
      </c>
    </row>
    <row r="158" spans="1:29" x14ac:dyDescent="0.25">
      <c r="A158" s="13" t="str">
        <f>IFERROR(INDEX($AA$1:$AA$368,MATCH(155,$AC$1:$AC$368,0)),"")</f>
        <v/>
      </c>
      <c r="B158" s="13" t="str">
        <f>IF($A158="","",IF(IFERROR(INDEX(Barneveld!$E$4:$E$36,MATCH($A158,Barneveld!$C$4:$C$36,0)),"")&lt;&gt;"",IFERROR(INDEX(Barneveld!$E$4:$E$36,MATCH($A158,Barneveld!$C$4:$C$36,0)),""),IF(IFERROR(INDEX(Baarn!$F$4:$F$38,MATCH($A158,Baarn!$C$4:$C$38,0)),"")&lt;&gt;"",IFERROR(INDEX(Baarn!$F$4:$F$38,MATCH($A158,Baarn!$C$4:$C$38,0)),""),IF(IFERROR(INDEX(Scherpenzeel!$F$4:$F$103,MATCH($A158,Scherpenzeel!$C$4:$C$103,0)),"")&lt;&gt;"",IFERROR(INDEX(Scherpenzeel!$F$4:$F$103,MATCH($A158,Scherpenzeel!$C$4:$C$103,0)),""),IF(IFERROR(INDEX('4'!$F$4:$F$103,MATCH($A158,'4'!$C$4:$C$103,0)),"")&lt;&gt;"",IFERROR(INDEX('4'!$F$4:$F$103,MATCH($A158,'4'!$C$4:$C$103,0)),""),IFERROR(INDEX('5'!$F$4:$F$103,MATCH($A158,'5'!$C$4:$C$103,0)),""))))))</f>
        <v/>
      </c>
      <c r="C158" s="13" t="str">
        <f>IF($A158="","",IF(IFERROR(INDEX(Barneveld!$D$4:$D$36,MATCH($A158,Barneveld!$C$4:$C$36,0)),"")&lt;&gt;"",IFERROR(INDEX(Barneveld!$D$4:$D$36,MATCH($A158,Barneveld!$C$4:$C$36,0)),""),IF(IFERROR(INDEX(Baarn!$E$4:$E$38,MATCH($A158,Baarn!$C$4:$C$38,0)),"")&lt;&gt;"",IFERROR(INDEX(Baarn!$E$4:$E$38,MATCH($A158,Baarn!$C$4:$C$38,0)),""),IF(IFERROR(INDEX(Scherpenzeel!$E$4:$E$103,MATCH($A158,Scherpenzeel!$C$4:$C$103,0)),"")&lt;&gt;"",IFERROR(INDEX(Scherpenzeel!$E$4:$E$103,MATCH($A158,Scherpenzeel!$C$4:$C$103,0)),""),IF(IFERROR(INDEX('4'!$E$4:$E$103,MATCH($A158,'4'!$C$4:$C$103,0)),"")&lt;&gt;"",IFERROR(INDEX('4'!$E$4:$E$103,MATCH($A158,'4'!$C$4:$C$103,0)),""),IFERROR(INDEX('5'!$E$4:$E$103,MATCH($A158,'5'!$C$4:$C$103,0)),""))))))</f>
        <v/>
      </c>
      <c r="D158" s="24" t="str">
        <f>IF($A158="","",IFERROR(INDEX(Barneveld!$A$4:$A$36,MATCH($A158,Barneveld!$C$4:$C$36,0)),""))</f>
        <v/>
      </c>
      <c r="E158" s="15">
        <f>IF($A158="",0,IFERROR(INDEX(Barneveld!$H$4:$H$36,MATCH($A158,Barneveld!$C$4:$C$36,0)),0))</f>
        <v>0</v>
      </c>
      <c r="F158" s="24" t="str">
        <f>IF($A158="","",IFERROR(INDEX(Baarn!$A$4:$A$38,MATCH($A158,Baarn!$C$4:$C$38,0)),""))</f>
        <v/>
      </c>
      <c r="G158" s="15">
        <f>IF($A158="",0,IFERROR(INDEX(Baarn!$I$4:$I$38,MATCH($A158,Baarn!$C$4:$C$38,0)),0))</f>
        <v>0</v>
      </c>
      <c r="H158" s="24" t="str">
        <f>IF($A158="","",IFERROR(INDEX(Scherpenzeel!$A$4:$A$103,MATCH($A158,Scherpenzeel!$C$4:$C$103,0)),""))</f>
        <v/>
      </c>
      <c r="I158" s="15">
        <f>IF($A158="",0,IFERROR(INDEX(Scherpenzeel!$I$4:$I$103,MATCH($A158,Scherpenzeel!$C$4:$C$103,0)),0))</f>
        <v>0</v>
      </c>
      <c r="J158" s="24" t="str">
        <f>IF($A158="","",IFERROR(INDEX('4'!$A$4:$A$103,MATCH($A158,'4'!$C$4:$C$103,0)),""))</f>
        <v/>
      </c>
      <c r="K158" s="15">
        <f>IF($A158="",0,IFERROR(INDEX('4'!$I$4:$I$103,MATCH($A158,'4'!$C$4:$C$103,0)),0))</f>
        <v>0</v>
      </c>
      <c r="L158" s="24" t="str">
        <f>IF($A158="","",IFERROR(INDEX('5'!$A$4:$A$103,MATCH($A158,'5'!$C$4:$C$103,0)),""))</f>
        <v/>
      </c>
      <c r="M158" s="15">
        <f>IF($A158="",0,IFERROR(INDEX('5'!$I$4:$I$103,MATCH($A158,'5'!$C$4:$C$103,0)),0))</f>
        <v>0</v>
      </c>
      <c r="N158" s="25" t="str">
        <f t="shared" si="8"/>
        <v/>
      </c>
      <c r="O158" s="26" t="str">
        <f t="shared" si="9"/>
        <v/>
      </c>
      <c r="AA158" t="str">
        <f>IF(ISNUMBER(SEARCH("Junior",Scherpenzeel!E93)),Scherpenzeel!C93,"")</f>
        <v/>
      </c>
      <c r="AB158">
        <f>IF(AA158="",0,IF(COUNTIF($AA$1:AA158,AA158)=1,1,0))</f>
        <v>0</v>
      </c>
      <c r="AC158" t="str">
        <f>IF(AB158=1,COUNTIF($AB$1:AB158,1),"")</f>
        <v/>
      </c>
    </row>
    <row r="159" spans="1:29" x14ac:dyDescent="0.25">
      <c r="A159" s="13" t="str">
        <f>IFERROR(INDEX($AA$1:$AA$368,MATCH(156,$AC$1:$AC$368,0)),"")</f>
        <v/>
      </c>
      <c r="B159" s="13" t="str">
        <f>IF($A159="","",IF(IFERROR(INDEX(Barneveld!$E$4:$E$36,MATCH($A159,Barneveld!$C$4:$C$36,0)),"")&lt;&gt;"",IFERROR(INDEX(Barneveld!$E$4:$E$36,MATCH($A159,Barneveld!$C$4:$C$36,0)),""),IF(IFERROR(INDEX(Baarn!$F$4:$F$38,MATCH($A159,Baarn!$C$4:$C$38,0)),"")&lt;&gt;"",IFERROR(INDEX(Baarn!$F$4:$F$38,MATCH($A159,Baarn!$C$4:$C$38,0)),""),IF(IFERROR(INDEX(Scherpenzeel!$F$4:$F$103,MATCH($A159,Scherpenzeel!$C$4:$C$103,0)),"")&lt;&gt;"",IFERROR(INDEX(Scherpenzeel!$F$4:$F$103,MATCH($A159,Scherpenzeel!$C$4:$C$103,0)),""),IF(IFERROR(INDEX('4'!$F$4:$F$103,MATCH($A159,'4'!$C$4:$C$103,0)),"")&lt;&gt;"",IFERROR(INDEX('4'!$F$4:$F$103,MATCH($A159,'4'!$C$4:$C$103,0)),""),IFERROR(INDEX('5'!$F$4:$F$103,MATCH($A159,'5'!$C$4:$C$103,0)),""))))))</f>
        <v/>
      </c>
      <c r="C159" s="13" t="str">
        <f>IF($A159="","",IF(IFERROR(INDEX(Barneveld!$D$4:$D$36,MATCH($A159,Barneveld!$C$4:$C$36,0)),"")&lt;&gt;"",IFERROR(INDEX(Barneveld!$D$4:$D$36,MATCH($A159,Barneveld!$C$4:$C$36,0)),""),IF(IFERROR(INDEX(Baarn!$E$4:$E$38,MATCH($A159,Baarn!$C$4:$C$38,0)),"")&lt;&gt;"",IFERROR(INDEX(Baarn!$E$4:$E$38,MATCH($A159,Baarn!$C$4:$C$38,0)),""),IF(IFERROR(INDEX(Scherpenzeel!$E$4:$E$103,MATCH($A159,Scherpenzeel!$C$4:$C$103,0)),"")&lt;&gt;"",IFERROR(INDEX(Scherpenzeel!$E$4:$E$103,MATCH($A159,Scherpenzeel!$C$4:$C$103,0)),""),IF(IFERROR(INDEX('4'!$E$4:$E$103,MATCH($A159,'4'!$C$4:$C$103,0)),"")&lt;&gt;"",IFERROR(INDEX('4'!$E$4:$E$103,MATCH($A159,'4'!$C$4:$C$103,0)),""),IFERROR(INDEX('5'!$E$4:$E$103,MATCH($A159,'5'!$C$4:$C$103,0)),""))))))</f>
        <v/>
      </c>
      <c r="D159" s="24" t="str">
        <f>IF($A159="","",IFERROR(INDEX(Barneveld!$A$4:$A$36,MATCH($A159,Barneveld!$C$4:$C$36,0)),""))</f>
        <v/>
      </c>
      <c r="E159" s="15">
        <f>IF($A159="",0,IFERROR(INDEX(Barneveld!$H$4:$H$36,MATCH($A159,Barneveld!$C$4:$C$36,0)),0))</f>
        <v>0</v>
      </c>
      <c r="F159" s="24" t="str">
        <f>IF($A159="","",IFERROR(INDEX(Baarn!$A$4:$A$38,MATCH($A159,Baarn!$C$4:$C$38,0)),""))</f>
        <v/>
      </c>
      <c r="G159" s="15">
        <f>IF($A159="",0,IFERROR(INDEX(Baarn!$I$4:$I$38,MATCH($A159,Baarn!$C$4:$C$38,0)),0))</f>
        <v>0</v>
      </c>
      <c r="H159" s="24" t="str">
        <f>IF($A159="","",IFERROR(INDEX(Scherpenzeel!$A$4:$A$103,MATCH($A159,Scherpenzeel!$C$4:$C$103,0)),""))</f>
        <v/>
      </c>
      <c r="I159" s="15">
        <f>IF($A159="",0,IFERROR(INDEX(Scherpenzeel!$I$4:$I$103,MATCH($A159,Scherpenzeel!$C$4:$C$103,0)),0))</f>
        <v>0</v>
      </c>
      <c r="J159" s="24" t="str">
        <f>IF($A159="","",IFERROR(INDEX('4'!$A$4:$A$103,MATCH($A159,'4'!$C$4:$C$103,0)),""))</f>
        <v/>
      </c>
      <c r="K159" s="15">
        <f>IF($A159="",0,IFERROR(INDEX('4'!$I$4:$I$103,MATCH($A159,'4'!$C$4:$C$103,0)),0))</f>
        <v>0</v>
      </c>
      <c r="L159" s="24" t="str">
        <f>IF($A159="","",IFERROR(INDEX('5'!$A$4:$A$103,MATCH($A159,'5'!$C$4:$C$103,0)),""))</f>
        <v/>
      </c>
      <c r="M159" s="15">
        <f>IF($A159="",0,IFERROR(INDEX('5'!$I$4:$I$103,MATCH($A159,'5'!$C$4:$C$103,0)),0))</f>
        <v>0</v>
      </c>
      <c r="N159" s="25" t="str">
        <f t="shared" si="8"/>
        <v/>
      </c>
      <c r="O159" s="26" t="str">
        <f t="shared" si="9"/>
        <v/>
      </c>
      <c r="AA159" t="str">
        <f>IF(ISNUMBER(SEARCH("Junior",Scherpenzeel!E94)),Scherpenzeel!C94,"")</f>
        <v/>
      </c>
      <c r="AB159">
        <f>IF(AA159="",0,IF(COUNTIF($AA$1:AA159,AA159)=1,1,0))</f>
        <v>0</v>
      </c>
      <c r="AC159" t="str">
        <f>IF(AB159=1,COUNTIF($AB$1:AB159,1),"")</f>
        <v/>
      </c>
    </row>
    <row r="160" spans="1:29" x14ac:dyDescent="0.25">
      <c r="A160" s="13" t="str">
        <f>IFERROR(INDEX($AA$1:$AA$368,MATCH(157,$AC$1:$AC$368,0)),"")</f>
        <v/>
      </c>
      <c r="B160" s="13" t="str">
        <f>IF($A160="","",IF(IFERROR(INDEX(Barneveld!$E$4:$E$36,MATCH($A160,Barneveld!$C$4:$C$36,0)),"")&lt;&gt;"",IFERROR(INDEX(Barneveld!$E$4:$E$36,MATCH($A160,Barneveld!$C$4:$C$36,0)),""),IF(IFERROR(INDEX(Baarn!$F$4:$F$38,MATCH($A160,Baarn!$C$4:$C$38,0)),"")&lt;&gt;"",IFERROR(INDEX(Baarn!$F$4:$F$38,MATCH($A160,Baarn!$C$4:$C$38,0)),""),IF(IFERROR(INDEX(Scherpenzeel!$F$4:$F$103,MATCH($A160,Scherpenzeel!$C$4:$C$103,0)),"")&lt;&gt;"",IFERROR(INDEX(Scherpenzeel!$F$4:$F$103,MATCH($A160,Scherpenzeel!$C$4:$C$103,0)),""),IF(IFERROR(INDEX('4'!$F$4:$F$103,MATCH($A160,'4'!$C$4:$C$103,0)),"")&lt;&gt;"",IFERROR(INDEX('4'!$F$4:$F$103,MATCH($A160,'4'!$C$4:$C$103,0)),""),IFERROR(INDEX('5'!$F$4:$F$103,MATCH($A160,'5'!$C$4:$C$103,0)),""))))))</f>
        <v/>
      </c>
      <c r="C160" s="13" t="str">
        <f>IF($A160="","",IF(IFERROR(INDEX(Barneveld!$D$4:$D$36,MATCH($A160,Barneveld!$C$4:$C$36,0)),"")&lt;&gt;"",IFERROR(INDEX(Barneveld!$D$4:$D$36,MATCH($A160,Barneveld!$C$4:$C$36,0)),""),IF(IFERROR(INDEX(Baarn!$E$4:$E$38,MATCH($A160,Baarn!$C$4:$C$38,0)),"")&lt;&gt;"",IFERROR(INDEX(Baarn!$E$4:$E$38,MATCH($A160,Baarn!$C$4:$C$38,0)),""),IF(IFERROR(INDEX(Scherpenzeel!$E$4:$E$103,MATCH($A160,Scherpenzeel!$C$4:$C$103,0)),"")&lt;&gt;"",IFERROR(INDEX(Scherpenzeel!$E$4:$E$103,MATCH($A160,Scherpenzeel!$C$4:$C$103,0)),""),IF(IFERROR(INDEX('4'!$E$4:$E$103,MATCH($A160,'4'!$C$4:$C$103,0)),"")&lt;&gt;"",IFERROR(INDEX('4'!$E$4:$E$103,MATCH($A160,'4'!$C$4:$C$103,0)),""),IFERROR(INDEX('5'!$E$4:$E$103,MATCH($A160,'5'!$C$4:$C$103,0)),""))))))</f>
        <v/>
      </c>
      <c r="D160" s="24" t="str">
        <f>IF($A160="","",IFERROR(INDEX(Barneveld!$A$4:$A$36,MATCH($A160,Barneveld!$C$4:$C$36,0)),""))</f>
        <v/>
      </c>
      <c r="E160" s="15">
        <f>IF($A160="",0,IFERROR(INDEX(Barneveld!$H$4:$H$36,MATCH($A160,Barneveld!$C$4:$C$36,0)),0))</f>
        <v>0</v>
      </c>
      <c r="F160" s="24" t="str">
        <f>IF($A160="","",IFERROR(INDEX(Baarn!$A$4:$A$38,MATCH($A160,Baarn!$C$4:$C$38,0)),""))</f>
        <v/>
      </c>
      <c r="G160" s="15">
        <f>IF($A160="",0,IFERROR(INDEX(Baarn!$I$4:$I$38,MATCH($A160,Baarn!$C$4:$C$38,0)),0))</f>
        <v>0</v>
      </c>
      <c r="H160" s="24" t="str">
        <f>IF($A160="","",IFERROR(INDEX(Scherpenzeel!$A$4:$A$103,MATCH($A160,Scherpenzeel!$C$4:$C$103,0)),""))</f>
        <v/>
      </c>
      <c r="I160" s="15">
        <f>IF($A160="",0,IFERROR(INDEX(Scherpenzeel!$I$4:$I$103,MATCH($A160,Scherpenzeel!$C$4:$C$103,0)),0))</f>
        <v>0</v>
      </c>
      <c r="J160" s="24" t="str">
        <f>IF($A160="","",IFERROR(INDEX('4'!$A$4:$A$103,MATCH($A160,'4'!$C$4:$C$103,0)),""))</f>
        <v/>
      </c>
      <c r="K160" s="15">
        <f>IF($A160="",0,IFERROR(INDEX('4'!$I$4:$I$103,MATCH($A160,'4'!$C$4:$C$103,0)),0))</f>
        <v>0</v>
      </c>
      <c r="L160" s="24" t="str">
        <f>IF($A160="","",IFERROR(INDEX('5'!$A$4:$A$103,MATCH($A160,'5'!$C$4:$C$103,0)),""))</f>
        <v/>
      </c>
      <c r="M160" s="15">
        <f>IF($A160="",0,IFERROR(INDEX('5'!$I$4:$I$103,MATCH($A160,'5'!$C$4:$C$103,0)),0))</f>
        <v>0</v>
      </c>
      <c r="N160" s="25" t="str">
        <f t="shared" si="8"/>
        <v/>
      </c>
      <c r="O160" s="26" t="str">
        <f t="shared" si="9"/>
        <v/>
      </c>
      <c r="AA160" t="str">
        <f>IF(ISNUMBER(SEARCH("Junior",Scherpenzeel!E95)),Scherpenzeel!C95,"")</f>
        <v/>
      </c>
      <c r="AB160">
        <f>IF(AA160="",0,IF(COUNTIF($AA$1:AA160,AA160)=1,1,0))</f>
        <v>0</v>
      </c>
      <c r="AC160" t="str">
        <f>IF(AB160=1,COUNTIF($AB$1:AB160,1),"")</f>
        <v/>
      </c>
    </row>
    <row r="161" spans="1:29" x14ac:dyDescent="0.25">
      <c r="A161" s="13" t="str">
        <f>IFERROR(INDEX($AA$1:$AA$368,MATCH(158,$AC$1:$AC$368,0)),"")</f>
        <v/>
      </c>
      <c r="B161" s="13" t="str">
        <f>IF($A161="","",IF(IFERROR(INDEX(Barneveld!$E$4:$E$36,MATCH($A161,Barneveld!$C$4:$C$36,0)),"")&lt;&gt;"",IFERROR(INDEX(Barneveld!$E$4:$E$36,MATCH($A161,Barneveld!$C$4:$C$36,0)),""),IF(IFERROR(INDEX(Baarn!$F$4:$F$38,MATCH($A161,Baarn!$C$4:$C$38,0)),"")&lt;&gt;"",IFERROR(INDEX(Baarn!$F$4:$F$38,MATCH($A161,Baarn!$C$4:$C$38,0)),""),IF(IFERROR(INDEX(Scherpenzeel!$F$4:$F$103,MATCH($A161,Scherpenzeel!$C$4:$C$103,0)),"")&lt;&gt;"",IFERROR(INDEX(Scherpenzeel!$F$4:$F$103,MATCH($A161,Scherpenzeel!$C$4:$C$103,0)),""),IF(IFERROR(INDEX('4'!$F$4:$F$103,MATCH($A161,'4'!$C$4:$C$103,0)),"")&lt;&gt;"",IFERROR(INDEX('4'!$F$4:$F$103,MATCH($A161,'4'!$C$4:$C$103,0)),""),IFERROR(INDEX('5'!$F$4:$F$103,MATCH($A161,'5'!$C$4:$C$103,0)),""))))))</f>
        <v/>
      </c>
      <c r="C161" s="13" t="str">
        <f>IF($A161="","",IF(IFERROR(INDEX(Barneveld!$D$4:$D$36,MATCH($A161,Barneveld!$C$4:$C$36,0)),"")&lt;&gt;"",IFERROR(INDEX(Barneveld!$D$4:$D$36,MATCH($A161,Barneveld!$C$4:$C$36,0)),""),IF(IFERROR(INDEX(Baarn!$E$4:$E$38,MATCH($A161,Baarn!$C$4:$C$38,0)),"")&lt;&gt;"",IFERROR(INDEX(Baarn!$E$4:$E$38,MATCH($A161,Baarn!$C$4:$C$38,0)),""),IF(IFERROR(INDEX(Scherpenzeel!$E$4:$E$103,MATCH($A161,Scherpenzeel!$C$4:$C$103,0)),"")&lt;&gt;"",IFERROR(INDEX(Scherpenzeel!$E$4:$E$103,MATCH($A161,Scherpenzeel!$C$4:$C$103,0)),""),IF(IFERROR(INDEX('4'!$E$4:$E$103,MATCH($A161,'4'!$C$4:$C$103,0)),"")&lt;&gt;"",IFERROR(INDEX('4'!$E$4:$E$103,MATCH($A161,'4'!$C$4:$C$103,0)),""),IFERROR(INDEX('5'!$E$4:$E$103,MATCH($A161,'5'!$C$4:$C$103,0)),""))))))</f>
        <v/>
      </c>
      <c r="D161" s="24" t="str">
        <f>IF($A161="","",IFERROR(INDEX(Barneveld!$A$4:$A$36,MATCH($A161,Barneveld!$C$4:$C$36,0)),""))</f>
        <v/>
      </c>
      <c r="E161" s="15">
        <f>IF($A161="",0,IFERROR(INDEX(Barneveld!$H$4:$H$36,MATCH($A161,Barneveld!$C$4:$C$36,0)),0))</f>
        <v>0</v>
      </c>
      <c r="F161" s="24" t="str">
        <f>IF($A161="","",IFERROR(INDEX(Baarn!$A$4:$A$38,MATCH($A161,Baarn!$C$4:$C$38,0)),""))</f>
        <v/>
      </c>
      <c r="G161" s="15">
        <f>IF($A161="",0,IFERROR(INDEX(Baarn!$I$4:$I$38,MATCH($A161,Baarn!$C$4:$C$38,0)),0))</f>
        <v>0</v>
      </c>
      <c r="H161" s="24" t="str">
        <f>IF($A161="","",IFERROR(INDEX(Scherpenzeel!$A$4:$A$103,MATCH($A161,Scherpenzeel!$C$4:$C$103,0)),""))</f>
        <v/>
      </c>
      <c r="I161" s="15">
        <f>IF($A161="",0,IFERROR(INDEX(Scherpenzeel!$I$4:$I$103,MATCH($A161,Scherpenzeel!$C$4:$C$103,0)),0))</f>
        <v>0</v>
      </c>
      <c r="J161" s="24" t="str">
        <f>IF($A161="","",IFERROR(INDEX('4'!$A$4:$A$103,MATCH($A161,'4'!$C$4:$C$103,0)),""))</f>
        <v/>
      </c>
      <c r="K161" s="15">
        <f>IF($A161="",0,IFERROR(INDEX('4'!$I$4:$I$103,MATCH($A161,'4'!$C$4:$C$103,0)),0))</f>
        <v>0</v>
      </c>
      <c r="L161" s="24" t="str">
        <f>IF($A161="","",IFERROR(INDEX('5'!$A$4:$A$103,MATCH($A161,'5'!$C$4:$C$103,0)),""))</f>
        <v/>
      </c>
      <c r="M161" s="15">
        <f>IF($A161="",0,IFERROR(INDEX('5'!$I$4:$I$103,MATCH($A161,'5'!$C$4:$C$103,0)),0))</f>
        <v>0</v>
      </c>
      <c r="N161" s="25" t="str">
        <f t="shared" si="8"/>
        <v/>
      </c>
      <c r="O161" s="26" t="str">
        <f t="shared" si="9"/>
        <v/>
      </c>
      <c r="AA161" t="str">
        <f>IF(ISNUMBER(SEARCH("Junior",Scherpenzeel!E96)),Scherpenzeel!C96,"")</f>
        <v/>
      </c>
      <c r="AB161">
        <f>IF(AA161="",0,IF(COUNTIF($AA$1:AA161,AA161)=1,1,0))</f>
        <v>0</v>
      </c>
      <c r="AC161" t="str">
        <f>IF(AB161=1,COUNTIF($AB$1:AB161,1),"")</f>
        <v/>
      </c>
    </row>
    <row r="162" spans="1:29" x14ac:dyDescent="0.25">
      <c r="A162" s="13" t="str">
        <f>IFERROR(INDEX($AA$1:$AA$368,MATCH(159,$AC$1:$AC$368,0)),"")</f>
        <v/>
      </c>
      <c r="B162" s="13" t="str">
        <f>IF($A162="","",IF(IFERROR(INDEX(Barneveld!$E$4:$E$36,MATCH($A162,Barneveld!$C$4:$C$36,0)),"")&lt;&gt;"",IFERROR(INDEX(Barneveld!$E$4:$E$36,MATCH($A162,Barneveld!$C$4:$C$36,0)),""),IF(IFERROR(INDEX(Baarn!$F$4:$F$38,MATCH($A162,Baarn!$C$4:$C$38,0)),"")&lt;&gt;"",IFERROR(INDEX(Baarn!$F$4:$F$38,MATCH($A162,Baarn!$C$4:$C$38,0)),""),IF(IFERROR(INDEX(Scherpenzeel!$F$4:$F$103,MATCH($A162,Scherpenzeel!$C$4:$C$103,0)),"")&lt;&gt;"",IFERROR(INDEX(Scherpenzeel!$F$4:$F$103,MATCH($A162,Scherpenzeel!$C$4:$C$103,0)),""),IF(IFERROR(INDEX('4'!$F$4:$F$103,MATCH($A162,'4'!$C$4:$C$103,0)),"")&lt;&gt;"",IFERROR(INDEX('4'!$F$4:$F$103,MATCH($A162,'4'!$C$4:$C$103,0)),""),IFERROR(INDEX('5'!$F$4:$F$103,MATCH($A162,'5'!$C$4:$C$103,0)),""))))))</f>
        <v/>
      </c>
      <c r="C162" s="13" t="str">
        <f>IF($A162="","",IF(IFERROR(INDEX(Barneveld!$D$4:$D$36,MATCH($A162,Barneveld!$C$4:$C$36,0)),"")&lt;&gt;"",IFERROR(INDEX(Barneveld!$D$4:$D$36,MATCH($A162,Barneveld!$C$4:$C$36,0)),""),IF(IFERROR(INDEX(Baarn!$E$4:$E$38,MATCH($A162,Baarn!$C$4:$C$38,0)),"")&lt;&gt;"",IFERROR(INDEX(Baarn!$E$4:$E$38,MATCH($A162,Baarn!$C$4:$C$38,0)),""),IF(IFERROR(INDEX(Scherpenzeel!$E$4:$E$103,MATCH($A162,Scherpenzeel!$C$4:$C$103,0)),"")&lt;&gt;"",IFERROR(INDEX(Scherpenzeel!$E$4:$E$103,MATCH($A162,Scherpenzeel!$C$4:$C$103,0)),""),IF(IFERROR(INDEX('4'!$E$4:$E$103,MATCH($A162,'4'!$C$4:$C$103,0)),"")&lt;&gt;"",IFERROR(INDEX('4'!$E$4:$E$103,MATCH($A162,'4'!$C$4:$C$103,0)),""),IFERROR(INDEX('5'!$E$4:$E$103,MATCH($A162,'5'!$C$4:$C$103,0)),""))))))</f>
        <v/>
      </c>
      <c r="D162" s="24" t="str">
        <f>IF($A162="","",IFERROR(INDEX(Barneveld!$A$4:$A$36,MATCH($A162,Barneveld!$C$4:$C$36,0)),""))</f>
        <v/>
      </c>
      <c r="E162" s="15">
        <f>IF($A162="",0,IFERROR(INDEX(Barneveld!$H$4:$H$36,MATCH($A162,Barneveld!$C$4:$C$36,0)),0))</f>
        <v>0</v>
      </c>
      <c r="F162" s="24" t="str">
        <f>IF($A162="","",IFERROR(INDEX(Baarn!$A$4:$A$38,MATCH($A162,Baarn!$C$4:$C$38,0)),""))</f>
        <v/>
      </c>
      <c r="G162" s="15">
        <f>IF($A162="",0,IFERROR(INDEX(Baarn!$I$4:$I$38,MATCH($A162,Baarn!$C$4:$C$38,0)),0))</f>
        <v>0</v>
      </c>
      <c r="H162" s="24" t="str">
        <f>IF($A162="","",IFERROR(INDEX(Scherpenzeel!$A$4:$A$103,MATCH($A162,Scherpenzeel!$C$4:$C$103,0)),""))</f>
        <v/>
      </c>
      <c r="I162" s="15">
        <f>IF($A162="",0,IFERROR(INDEX(Scherpenzeel!$I$4:$I$103,MATCH($A162,Scherpenzeel!$C$4:$C$103,0)),0))</f>
        <v>0</v>
      </c>
      <c r="J162" s="24" t="str">
        <f>IF($A162="","",IFERROR(INDEX('4'!$A$4:$A$103,MATCH($A162,'4'!$C$4:$C$103,0)),""))</f>
        <v/>
      </c>
      <c r="K162" s="15">
        <f>IF($A162="",0,IFERROR(INDEX('4'!$I$4:$I$103,MATCH($A162,'4'!$C$4:$C$103,0)),0))</f>
        <v>0</v>
      </c>
      <c r="L162" s="24" t="str">
        <f>IF($A162="","",IFERROR(INDEX('5'!$A$4:$A$103,MATCH($A162,'5'!$C$4:$C$103,0)),""))</f>
        <v/>
      </c>
      <c r="M162" s="15">
        <f>IF($A162="",0,IFERROR(INDEX('5'!$I$4:$I$103,MATCH($A162,'5'!$C$4:$C$103,0)),0))</f>
        <v>0</v>
      </c>
      <c r="N162" s="25" t="str">
        <f t="shared" si="8"/>
        <v/>
      </c>
      <c r="O162" s="26" t="str">
        <f t="shared" si="9"/>
        <v/>
      </c>
      <c r="AA162" t="str">
        <f>IF(ISNUMBER(SEARCH("Junior",Scherpenzeel!E97)),Scherpenzeel!C97,"")</f>
        <v/>
      </c>
      <c r="AB162">
        <f>IF(AA162="",0,IF(COUNTIF($AA$1:AA162,AA162)=1,1,0))</f>
        <v>0</v>
      </c>
      <c r="AC162" t="str">
        <f>IF(AB162=1,COUNTIF($AB$1:AB162,1),"")</f>
        <v/>
      </c>
    </row>
    <row r="163" spans="1:29" x14ac:dyDescent="0.25">
      <c r="A163" s="13" t="str">
        <f>IFERROR(INDEX($AA$1:$AA$368,MATCH(160,$AC$1:$AC$368,0)),"")</f>
        <v/>
      </c>
      <c r="B163" s="13" t="str">
        <f>IF($A163="","",IF(IFERROR(INDEX(Barneveld!$E$4:$E$36,MATCH($A163,Barneveld!$C$4:$C$36,0)),"")&lt;&gt;"",IFERROR(INDEX(Barneveld!$E$4:$E$36,MATCH($A163,Barneveld!$C$4:$C$36,0)),""),IF(IFERROR(INDEX(Baarn!$F$4:$F$38,MATCH($A163,Baarn!$C$4:$C$38,0)),"")&lt;&gt;"",IFERROR(INDEX(Baarn!$F$4:$F$38,MATCH($A163,Baarn!$C$4:$C$38,0)),""),IF(IFERROR(INDEX(Scherpenzeel!$F$4:$F$103,MATCH($A163,Scherpenzeel!$C$4:$C$103,0)),"")&lt;&gt;"",IFERROR(INDEX(Scherpenzeel!$F$4:$F$103,MATCH($A163,Scherpenzeel!$C$4:$C$103,0)),""),IF(IFERROR(INDEX('4'!$F$4:$F$103,MATCH($A163,'4'!$C$4:$C$103,0)),"")&lt;&gt;"",IFERROR(INDEX('4'!$F$4:$F$103,MATCH($A163,'4'!$C$4:$C$103,0)),""),IFERROR(INDEX('5'!$F$4:$F$103,MATCH($A163,'5'!$C$4:$C$103,0)),""))))))</f>
        <v/>
      </c>
      <c r="C163" s="13" t="str">
        <f>IF($A163="","",IF(IFERROR(INDEX(Barneveld!$D$4:$D$36,MATCH($A163,Barneveld!$C$4:$C$36,0)),"")&lt;&gt;"",IFERROR(INDEX(Barneveld!$D$4:$D$36,MATCH($A163,Barneveld!$C$4:$C$36,0)),""),IF(IFERROR(INDEX(Baarn!$E$4:$E$38,MATCH($A163,Baarn!$C$4:$C$38,0)),"")&lt;&gt;"",IFERROR(INDEX(Baarn!$E$4:$E$38,MATCH($A163,Baarn!$C$4:$C$38,0)),""),IF(IFERROR(INDEX(Scherpenzeel!$E$4:$E$103,MATCH($A163,Scherpenzeel!$C$4:$C$103,0)),"")&lt;&gt;"",IFERROR(INDEX(Scherpenzeel!$E$4:$E$103,MATCH($A163,Scherpenzeel!$C$4:$C$103,0)),""),IF(IFERROR(INDEX('4'!$E$4:$E$103,MATCH($A163,'4'!$C$4:$C$103,0)),"")&lt;&gt;"",IFERROR(INDEX('4'!$E$4:$E$103,MATCH($A163,'4'!$C$4:$C$103,0)),""),IFERROR(INDEX('5'!$E$4:$E$103,MATCH($A163,'5'!$C$4:$C$103,0)),""))))))</f>
        <v/>
      </c>
      <c r="D163" s="24" t="str">
        <f>IF($A163="","",IFERROR(INDEX(Barneveld!$A$4:$A$36,MATCH($A163,Barneveld!$C$4:$C$36,0)),""))</f>
        <v/>
      </c>
      <c r="E163" s="15">
        <f>IF($A163="",0,IFERROR(INDEX(Barneveld!$H$4:$H$36,MATCH($A163,Barneveld!$C$4:$C$36,0)),0))</f>
        <v>0</v>
      </c>
      <c r="F163" s="24" t="str">
        <f>IF($A163="","",IFERROR(INDEX(Baarn!$A$4:$A$38,MATCH($A163,Baarn!$C$4:$C$38,0)),""))</f>
        <v/>
      </c>
      <c r="G163" s="15">
        <f>IF($A163="",0,IFERROR(INDEX(Baarn!$I$4:$I$38,MATCH($A163,Baarn!$C$4:$C$38,0)),0))</f>
        <v>0</v>
      </c>
      <c r="H163" s="24" t="str">
        <f>IF($A163="","",IFERROR(INDEX(Scherpenzeel!$A$4:$A$103,MATCH($A163,Scherpenzeel!$C$4:$C$103,0)),""))</f>
        <v/>
      </c>
      <c r="I163" s="15">
        <f>IF($A163="",0,IFERROR(INDEX(Scherpenzeel!$I$4:$I$103,MATCH($A163,Scherpenzeel!$C$4:$C$103,0)),0))</f>
        <v>0</v>
      </c>
      <c r="J163" s="24" t="str">
        <f>IF($A163="","",IFERROR(INDEX('4'!$A$4:$A$103,MATCH($A163,'4'!$C$4:$C$103,0)),""))</f>
        <v/>
      </c>
      <c r="K163" s="15">
        <f>IF($A163="",0,IFERROR(INDEX('4'!$I$4:$I$103,MATCH($A163,'4'!$C$4:$C$103,0)),0))</f>
        <v>0</v>
      </c>
      <c r="L163" s="24" t="str">
        <f>IF($A163="","",IFERROR(INDEX('5'!$A$4:$A$103,MATCH($A163,'5'!$C$4:$C$103,0)),""))</f>
        <v/>
      </c>
      <c r="M163" s="15">
        <f>IF($A163="",0,IFERROR(INDEX('5'!$I$4:$I$103,MATCH($A163,'5'!$C$4:$C$103,0)),0))</f>
        <v>0</v>
      </c>
      <c r="N163" s="25" t="str">
        <f t="shared" si="8"/>
        <v/>
      </c>
      <c r="O163" s="26" t="str">
        <f t="shared" si="9"/>
        <v/>
      </c>
      <c r="AA163" t="str">
        <f>IF(ISNUMBER(SEARCH("Junior",Scherpenzeel!E98)),Scherpenzeel!C98,"")</f>
        <v/>
      </c>
      <c r="AB163">
        <f>IF(AA163="",0,IF(COUNTIF($AA$1:AA163,AA163)=1,1,0))</f>
        <v>0</v>
      </c>
      <c r="AC163" t="str">
        <f>IF(AB163=1,COUNTIF($AB$1:AB163,1),"")</f>
        <v/>
      </c>
    </row>
    <row r="164" spans="1:29" x14ac:dyDescent="0.25">
      <c r="A164" s="13" t="str">
        <f>IFERROR(INDEX($AA$1:$AA$368,MATCH(161,$AC$1:$AC$368,0)),"")</f>
        <v/>
      </c>
      <c r="B164" s="13" t="str">
        <f>IF($A164="","",IF(IFERROR(INDEX(Barneveld!$E$4:$E$36,MATCH($A164,Barneveld!$C$4:$C$36,0)),"")&lt;&gt;"",IFERROR(INDEX(Barneveld!$E$4:$E$36,MATCH($A164,Barneveld!$C$4:$C$36,0)),""),IF(IFERROR(INDEX(Baarn!$F$4:$F$38,MATCH($A164,Baarn!$C$4:$C$38,0)),"")&lt;&gt;"",IFERROR(INDEX(Baarn!$F$4:$F$38,MATCH($A164,Baarn!$C$4:$C$38,0)),""),IF(IFERROR(INDEX(Scherpenzeel!$F$4:$F$103,MATCH($A164,Scherpenzeel!$C$4:$C$103,0)),"")&lt;&gt;"",IFERROR(INDEX(Scherpenzeel!$F$4:$F$103,MATCH($A164,Scherpenzeel!$C$4:$C$103,0)),""),IF(IFERROR(INDEX('4'!$F$4:$F$103,MATCH($A164,'4'!$C$4:$C$103,0)),"")&lt;&gt;"",IFERROR(INDEX('4'!$F$4:$F$103,MATCH($A164,'4'!$C$4:$C$103,0)),""),IFERROR(INDEX('5'!$F$4:$F$103,MATCH($A164,'5'!$C$4:$C$103,0)),""))))))</f>
        <v/>
      </c>
      <c r="C164" s="13" t="str">
        <f>IF($A164="","",IF(IFERROR(INDEX(Barneveld!$D$4:$D$36,MATCH($A164,Barneveld!$C$4:$C$36,0)),"")&lt;&gt;"",IFERROR(INDEX(Barneveld!$D$4:$D$36,MATCH($A164,Barneveld!$C$4:$C$36,0)),""),IF(IFERROR(INDEX(Baarn!$E$4:$E$38,MATCH($A164,Baarn!$C$4:$C$38,0)),"")&lt;&gt;"",IFERROR(INDEX(Baarn!$E$4:$E$38,MATCH($A164,Baarn!$C$4:$C$38,0)),""),IF(IFERROR(INDEX(Scherpenzeel!$E$4:$E$103,MATCH($A164,Scherpenzeel!$C$4:$C$103,0)),"")&lt;&gt;"",IFERROR(INDEX(Scherpenzeel!$E$4:$E$103,MATCH($A164,Scherpenzeel!$C$4:$C$103,0)),""),IF(IFERROR(INDEX('4'!$E$4:$E$103,MATCH($A164,'4'!$C$4:$C$103,0)),"")&lt;&gt;"",IFERROR(INDEX('4'!$E$4:$E$103,MATCH($A164,'4'!$C$4:$C$103,0)),""),IFERROR(INDEX('5'!$E$4:$E$103,MATCH($A164,'5'!$C$4:$C$103,0)),""))))))</f>
        <v/>
      </c>
      <c r="D164" s="24" t="str">
        <f>IF($A164="","",IFERROR(INDEX(Barneveld!$A$4:$A$36,MATCH($A164,Barneveld!$C$4:$C$36,0)),""))</f>
        <v/>
      </c>
      <c r="E164" s="15">
        <f>IF($A164="",0,IFERROR(INDEX(Barneveld!$H$4:$H$36,MATCH($A164,Barneveld!$C$4:$C$36,0)),0))</f>
        <v>0</v>
      </c>
      <c r="F164" s="24" t="str">
        <f>IF($A164="","",IFERROR(INDEX(Baarn!$A$4:$A$38,MATCH($A164,Baarn!$C$4:$C$38,0)),""))</f>
        <v/>
      </c>
      <c r="G164" s="15">
        <f>IF($A164="",0,IFERROR(INDEX(Baarn!$I$4:$I$38,MATCH($A164,Baarn!$C$4:$C$38,0)),0))</f>
        <v>0</v>
      </c>
      <c r="H164" s="24" t="str">
        <f>IF($A164="","",IFERROR(INDEX(Scherpenzeel!$A$4:$A$103,MATCH($A164,Scherpenzeel!$C$4:$C$103,0)),""))</f>
        <v/>
      </c>
      <c r="I164" s="15">
        <f>IF($A164="",0,IFERROR(INDEX(Scherpenzeel!$I$4:$I$103,MATCH($A164,Scherpenzeel!$C$4:$C$103,0)),0))</f>
        <v>0</v>
      </c>
      <c r="J164" s="24" t="str">
        <f>IF($A164="","",IFERROR(INDEX('4'!$A$4:$A$103,MATCH($A164,'4'!$C$4:$C$103,0)),""))</f>
        <v/>
      </c>
      <c r="K164" s="15">
        <f>IF($A164="",0,IFERROR(INDEX('4'!$I$4:$I$103,MATCH($A164,'4'!$C$4:$C$103,0)),0))</f>
        <v>0</v>
      </c>
      <c r="L164" s="24" t="str">
        <f>IF($A164="","",IFERROR(INDEX('5'!$A$4:$A$103,MATCH($A164,'5'!$C$4:$C$103,0)),""))</f>
        <v/>
      </c>
      <c r="M164" s="15">
        <f>IF($A164="",0,IFERROR(INDEX('5'!$I$4:$I$103,MATCH($A164,'5'!$C$4:$C$103,0)),0))</f>
        <v>0</v>
      </c>
      <c r="N164" s="25" t="str">
        <f t="shared" ref="N164:N195" si="10">IF($A164="","",E164+G164+I164+K164+M164)</f>
        <v/>
      </c>
      <c r="O164" s="26" t="str">
        <f t="shared" ref="O164:O195" si="11">IF(OR($A164="",N164="",N164=0),"",RANK(N164,$N$4:$N$203,0))</f>
        <v/>
      </c>
      <c r="AA164" t="str">
        <f>IF(ISNUMBER(SEARCH("Junior",Scherpenzeel!E99)),Scherpenzeel!C99,"")</f>
        <v/>
      </c>
      <c r="AB164">
        <f>IF(AA164="",0,IF(COUNTIF($AA$1:AA164,AA164)=1,1,0))</f>
        <v>0</v>
      </c>
      <c r="AC164" t="str">
        <f>IF(AB164=1,COUNTIF($AB$1:AB164,1),"")</f>
        <v/>
      </c>
    </row>
    <row r="165" spans="1:29" x14ac:dyDescent="0.25">
      <c r="A165" s="13" t="str">
        <f>IFERROR(INDEX($AA$1:$AA$368,MATCH(162,$AC$1:$AC$368,0)),"")</f>
        <v/>
      </c>
      <c r="B165" s="13" t="str">
        <f>IF($A165="","",IF(IFERROR(INDEX(Barneveld!$E$4:$E$36,MATCH($A165,Barneveld!$C$4:$C$36,0)),"")&lt;&gt;"",IFERROR(INDEX(Barneveld!$E$4:$E$36,MATCH($A165,Barneveld!$C$4:$C$36,0)),""),IF(IFERROR(INDEX(Baarn!$F$4:$F$38,MATCH($A165,Baarn!$C$4:$C$38,0)),"")&lt;&gt;"",IFERROR(INDEX(Baarn!$F$4:$F$38,MATCH($A165,Baarn!$C$4:$C$38,0)),""),IF(IFERROR(INDEX(Scherpenzeel!$F$4:$F$103,MATCH($A165,Scherpenzeel!$C$4:$C$103,0)),"")&lt;&gt;"",IFERROR(INDEX(Scherpenzeel!$F$4:$F$103,MATCH($A165,Scherpenzeel!$C$4:$C$103,0)),""),IF(IFERROR(INDEX('4'!$F$4:$F$103,MATCH($A165,'4'!$C$4:$C$103,0)),"")&lt;&gt;"",IFERROR(INDEX('4'!$F$4:$F$103,MATCH($A165,'4'!$C$4:$C$103,0)),""),IFERROR(INDEX('5'!$F$4:$F$103,MATCH($A165,'5'!$C$4:$C$103,0)),""))))))</f>
        <v/>
      </c>
      <c r="C165" s="13" t="str">
        <f>IF($A165="","",IF(IFERROR(INDEX(Barneveld!$D$4:$D$36,MATCH($A165,Barneveld!$C$4:$C$36,0)),"")&lt;&gt;"",IFERROR(INDEX(Barneveld!$D$4:$D$36,MATCH($A165,Barneveld!$C$4:$C$36,0)),""),IF(IFERROR(INDEX(Baarn!$E$4:$E$38,MATCH($A165,Baarn!$C$4:$C$38,0)),"")&lt;&gt;"",IFERROR(INDEX(Baarn!$E$4:$E$38,MATCH($A165,Baarn!$C$4:$C$38,0)),""),IF(IFERROR(INDEX(Scherpenzeel!$E$4:$E$103,MATCH($A165,Scherpenzeel!$C$4:$C$103,0)),"")&lt;&gt;"",IFERROR(INDEX(Scherpenzeel!$E$4:$E$103,MATCH($A165,Scherpenzeel!$C$4:$C$103,0)),""),IF(IFERROR(INDEX('4'!$E$4:$E$103,MATCH($A165,'4'!$C$4:$C$103,0)),"")&lt;&gt;"",IFERROR(INDEX('4'!$E$4:$E$103,MATCH($A165,'4'!$C$4:$C$103,0)),""),IFERROR(INDEX('5'!$E$4:$E$103,MATCH($A165,'5'!$C$4:$C$103,0)),""))))))</f>
        <v/>
      </c>
      <c r="D165" s="24" t="str">
        <f>IF($A165="","",IFERROR(INDEX(Barneveld!$A$4:$A$36,MATCH($A165,Barneveld!$C$4:$C$36,0)),""))</f>
        <v/>
      </c>
      <c r="E165" s="15">
        <f>IF($A165="",0,IFERROR(INDEX(Barneveld!$H$4:$H$36,MATCH($A165,Barneveld!$C$4:$C$36,0)),0))</f>
        <v>0</v>
      </c>
      <c r="F165" s="24" t="str">
        <f>IF($A165="","",IFERROR(INDEX(Baarn!$A$4:$A$38,MATCH($A165,Baarn!$C$4:$C$38,0)),""))</f>
        <v/>
      </c>
      <c r="G165" s="15">
        <f>IF($A165="",0,IFERROR(INDEX(Baarn!$I$4:$I$38,MATCH($A165,Baarn!$C$4:$C$38,0)),0))</f>
        <v>0</v>
      </c>
      <c r="H165" s="24" t="str">
        <f>IF($A165="","",IFERROR(INDEX(Scherpenzeel!$A$4:$A$103,MATCH($A165,Scherpenzeel!$C$4:$C$103,0)),""))</f>
        <v/>
      </c>
      <c r="I165" s="15">
        <f>IF($A165="",0,IFERROR(INDEX(Scherpenzeel!$I$4:$I$103,MATCH($A165,Scherpenzeel!$C$4:$C$103,0)),0))</f>
        <v>0</v>
      </c>
      <c r="J165" s="24" t="str">
        <f>IF($A165="","",IFERROR(INDEX('4'!$A$4:$A$103,MATCH($A165,'4'!$C$4:$C$103,0)),""))</f>
        <v/>
      </c>
      <c r="K165" s="15">
        <f>IF($A165="",0,IFERROR(INDEX('4'!$I$4:$I$103,MATCH($A165,'4'!$C$4:$C$103,0)),0))</f>
        <v>0</v>
      </c>
      <c r="L165" s="24" t="str">
        <f>IF($A165="","",IFERROR(INDEX('5'!$A$4:$A$103,MATCH($A165,'5'!$C$4:$C$103,0)),""))</f>
        <v/>
      </c>
      <c r="M165" s="15">
        <f>IF($A165="",0,IFERROR(INDEX('5'!$I$4:$I$103,MATCH($A165,'5'!$C$4:$C$103,0)),0))</f>
        <v>0</v>
      </c>
      <c r="N165" s="25" t="str">
        <f t="shared" si="10"/>
        <v/>
      </c>
      <c r="O165" s="26" t="str">
        <f t="shared" si="11"/>
        <v/>
      </c>
      <c r="AA165" t="str">
        <f>IF(ISNUMBER(SEARCH("Junior",Scherpenzeel!E100)),Scherpenzeel!C100,"")</f>
        <v/>
      </c>
      <c r="AB165">
        <f>IF(AA165="",0,IF(COUNTIF($AA$1:AA165,AA165)=1,1,0))</f>
        <v>0</v>
      </c>
      <c r="AC165" t="str">
        <f>IF(AB165=1,COUNTIF($AB$1:AB165,1),"")</f>
        <v/>
      </c>
    </row>
    <row r="166" spans="1:29" x14ac:dyDescent="0.25">
      <c r="A166" s="13" t="str">
        <f>IFERROR(INDEX($AA$1:$AA$368,MATCH(163,$AC$1:$AC$368,0)),"")</f>
        <v/>
      </c>
      <c r="B166" s="13" t="str">
        <f>IF($A166="","",IF(IFERROR(INDEX(Barneveld!$E$4:$E$36,MATCH($A166,Barneveld!$C$4:$C$36,0)),"")&lt;&gt;"",IFERROR(INDEX(Barneveld!$E$4:$E$36,MATCH($A166,Barneveld!$C$4:$C$36,0)),""),IF(IFERROR(INDEX(Baarn!$F$4:$F$38,MATCH($A166,Baarn!$C$4:$C$38,0)),"")&lt;&gt;"",IFERROR(INDEX(Baarn!$F$4:$F$38,MATCH($A166,Baarn!$C$4:$C$38,0)),""),IF(IFERROR(INDEX(Scherpenzeel!$F$4:$F$103,MATCH($A166,Scherpenzeel!$C$4:$C$103,0)),"")&lt;&gt;"",IFERROR(INDEX(Scherpenzeel!$F$4:$F$103,MATCH($A166,Scherpenzeel!$C$4:$C$103,0)),""),IF(IFERROR(INDEX('4'!$F$4:$F$103,MATCH($A166,'4'!$C$4:$C$103,0)),"")&lt;&gt;"",IFERROR(INDEX('4'!$F$4:$F$103,MATCH($A166,'4'!$C$4:$C$103,0)),""),IFERROR(INDEX('5'!$F$4:$F$103,MATCH($A166,'5'!$C$4:$C$103,0)),""))))))</f>
        <v/>
      </c>
      <c r="C166" s="13" t="str">
        <f>IF($A166="","",IF(IFERROR(INDEX(Barneveld!$D$4:$D$36,MATCH($A166,Barneveld!$C$4:$C$36,0)),"")&lt;&gt;"",IFERROR(INDEX(Barneveld!$D$4:$D$36,MATCH($A166,Barneveld!$C$4:$C$36,0)),""),IF(IFERROR(INDEX(Baarn!$E$4:$E$38,MATCH($A166,Baarn!$C$4:$C$38,0)),"")&lt;&gt;"",IFERROR(INDEX(Baarn!$E$4:$E$38,MATCH($A166,Baarn!$C$4:$C$38,0)),""),IF(IFERROR(INDEX(Scherpenzeel!$E$4:$E$103,MATCH($A166,Scherpenzeel!$C$4:$C$103,0)),"")&lt;&gt;"",IFERROR(INDEX(Scherpenzeel!$E$4:$E$103,MATCH($A166,Scherpenzeel!$C$4:$C$103,0)),""),IF(IFERROR(INDEX('4'!$E$4:$E$103,MATCH($A166,'4'!$C$4:$C$103,0)),"")&lt;&gt;"",IFERROR(INDEX('4'!$E$4:$E$103,MATCH($A166,'4'!$C$4:$C$103,0)),""),IFERROR(INDEX('5'!$E$4:$E$103,MATCH($A166,'5'!$C$4:$C$103,0)),""))))))</f>
        <v/>
      </c>
      <c r="D166" s="24" t="str">
        <f>IF($A166="","",IFERROR(INDEX(Barneveld!$A$4:$A$36,MATCH($A166,Barneveld!$C$4:$C$36,0)),""))</f>
        <v/>
      </c>
      <c r="E166" s="15">
        <f>IF($A166="",0,IFERROR(INDEX(Barneveld!$H$4:$H$36,MATCH($A166,Barneveld!$C$4:$C$36,0)),0))</f>
        <v>0</v>
      </c>
      <c r="F166" s="24" t="str">
        <f>IF($A166="","",IFERROR(INDEX(Baarn!$A$4:$A$38,MATCH($A166,Baarn!$C$4:$C$38,0)),""))</f>
        <v/>
      </c>
      <c r="G166" s="15">
        <f>IF($A166="",0,IFERROR(INDEX(Baarn!$I$4:$I$38,MATCH($A166,Baarn!$C$4:$C$38,0)),0))</f>
        <v>0</v>
      </c>
      <c r="H166" s="24" t="str">
        <f>IF($A166="","",IFERROR(INDEX(Scherpenzeel!$A$4:$A$103,MATCH($A166,Scherpenzeel!$C$4:$C$103,0)),""))</f>
        <v/>
      </c>
      <c r="I166" s="15">
        <f>IF($A166="",0,IFERROR(INDEX(Scherpenzeel!$I$4:$I$103,MATCH($A166,Scherpenzeel!$C$4:$C$103,0)),0))</f>
        <v>0</v>
      </c>
      <c r="J166" s="24" t="str">
        <f>IF($A166="","",IFERROR(INDEX('4'!$A$4:$A$103,MATCH($A166,'4'!$C$4:$C$103,0)),""))</f>
        <v/>
      </c>
      <c r="K166" s="15">
        <f>IF($A166="",0,IFERROR(INDEX('4'!$I$4:$I$103,MATCH($A166,'4'!$C$4:$C$103,0)),0))</f>
        <v>0</v>
      </c>
      <c r="L166" s="24" t="str">
        <f>IF($A166="","",IFERROR(INDEX('5'!$A$4:$A$103,MATCH($A166,'5'!$C$4:$C$103,0)),""))</f>
        <v/>
      </c>
      <c r="M166" s="15">
        <f>IF($A166="",0,IFERROR(INDEX('5'!$I$4:$I$103,MATCH($A166,'5'!$C$4:$C$103,0)),0))</f>
        <v>0</v>
      </c>
      <c r="N166" s="25" t="str">
        <f t="shared" si="10"/>
        <v/>
      </c>
      <c r="O166" s="26" t="str">
        <f t="shared" si="11"/>
        <v/>
      </c>
      <c r="AA166" t="str">
        <f>IF(ISNUMBER(SEARCH("Junior",Scherpenzeel!E101)),Scherpenzeel!C101,"")</f>
        <v/>
      </c>
      <c r="AB166">
        <f>IF(AA166="",0,IF(COUNTIF($AA$1:AA166,AA166)=1,1,0))</f>
        <v>0</v>
      </c>
      <c r="AC166" t="str">
        <f>IF(AB166=1,COUNTIF($AB$1:AB166,1),"")</f>
        <v/>
      </c>
    </row>
    <row r="167" spans="1:29" x14ac:dyDescent="0.25">
      <c r="A167" s="13" t="str">
        <f>IFERROR(INDEX($AA$1:$AA$368,MATCH(164,$AC$1:$AC$368,0)),"")</f>
        <v/>
      </c>
      <c r="B167" s="13" t="str">
        <f>IF($A167="","",IF(IFERROR(INDEX(Barneveld!$E$4:$E$36,MATCH($A167,Barneveld!$C$4:$C$36,0)),"")&lt;&gt;"",IFERROR(INDEX(Barneveld!$E$4:$E$36,MATCH($A167,Barneveld!$C$4:$C$36,0)),""),IF(IFERROR(INDEX(Baarn!$F$4:$F$38,MATCH($A167,Baarn!$C$4:$C$38,0)),"")&lt;&gt;"",IFERROR(INDEX(Baarn!$F$4:$F$38,MATCH($A167,Baarn!$C$4:$C$38,0)),""),IF(IFERROR(INDEX(Scherpenzeel!$F$4:$F$103,MATCH($A167,Scherpenzeel!$C$4:$C$103,0)),"")&lt;&gt;"",IFERROR(INDEX(Scherpenzeel!$F$4:$F$103,MATCH($A167,Scherpenzeel!$C$4:$C$103,0)),""),IF(IFERROR(INDEX('4'!$F$4:$F$103,MATCH($A167,'4'!$C$4:$C$103,0)),"")&lt;&gt;"",IFERROR(INDEX('4'!$F$4:$F$103,MATCH($A167,'4'!$C$4:$C$103,0)),""),IFERROR(INDEX('5'!$F$4:$F$103,MATCH($A167,'5'!$C$4:$C$103,0)),""))))))</f>
        <v/>
      </c>
      <c r="C167" s="13" t="str">
        <f>IF($A167="","",IF(IFERROR(INDEX(Barneveld!$D$4:$D$36,MATCH($A167,Barneveld!$C$4:$C$36,0)),"")&lt;&gt;"",IFERROR(INDEX(Barneveld!$D$4:$D$36,MATCH($A167,Barneveld!$C$4:$C$36,0)),""),IF(IFERROR(INDEX(Baarn!$E$4:$E$38,MATCH($A167,Baarn!$C$4:$C$38,0)),"")&lt;&gt;"",IFERROR(INDEX(Baarn!$E$4:$E$38,MATCH($A167,Baarn!$C$4:$C$38,0)),""),IF(IFERROR(INDEX(Scherpenzeel!$E$4:$E$103,MATCH($A167,Scherpenzeel!$C$4:$C$103,0)),"")&lt;&gt;"",IFERROR(INDEX(Scherpenzeel!$E$4:$E$103,MATCH($A167,Scherpenzeel!$C$4:$C$103,0)),""),IF(IFERROR(INDEX('4'!$E$4:$E$103,MATCH($A167,'4'!$C$4:$C$103,0)),"")&lt;&gt;"",IFERROR(INDEX('4'!$E$4:$E$103,MATCH($A167,'4'!$C$4:$C$103,0)),""),IFERROR(INDEX('5'!$E$4:$E$103,MATCH($A167,'5'!$C$4:$C$103,0)),""))))))</f>
        <v/>
      </c>
      <c r="D167" s="24" t="str">
        <f>IF($A167="","",IFERROR(INDEX(Barneveld!$A$4:$A$36,MATCH($A167,Barneveld!$C$4:$C$36,0)),""))</f>
        <v/>
      </c>
      <c r="E167" s="15">
        <f>IF($A167="",0,IFERROR(INDEX(Barneveld!$H$4:$H$36,MATCH($A167,Barneveld!$C$4:$C$36,0)),0))</f>
        <v>0</v>
      </c>
      <c r="F167" s="24" t="str">
        <f>IF($A167="","",IFERROR(INDEX(Baarn!$A$4:$A$38,MATCH($A167,Baarn!$C$4:$C$38,0)),""))</f>
        <v/>
      </c>
      <c r="G167" s="15">
        <f>IF($A167="",0,IFERROR(INDEX(Baarn!$I$4:$I$38,MATCH($A167,Baarn!$C$4:$C$38,0)),0))</f>
        <v>0</v>
      </c>
      <c r="H167" s="24" t="str">
        <f>IF($A167="","",IFERROR(INDEX(Scherpenzeel!$A$4:$A$103,MATCH($A167,Scherpenzeel!$C$4:$C$103,0)),""))</f>
        <v/>
      </c>
      <c r="I167" s="15">
        <f>IF($A167="",0,IFERROR(INDEX(Scherpenzeel!$I$4:$I$103,MATCH($A167,Scherpenzeel!$C$4:$C$103,0)),0))</f>
        <v>0</v>
      </c>
      <c r="J167" s="24" t="str">
        <f>IF($A167="","",IFERROR(INDEX('4'!$A$4:$A$103,MATCH($A167,'4'!$C$4:$C$103,0)),""))</f>
        <v/>
      </c>
      <c r="K167" s="15">
        <f>IF($A167="",0,IFERROR(INDEX('4'!$I$4:$I$103,MATCH($A167,'4'!$C$4:$C$103,0)),0))</f>
        <v>0</v>
      </c>
      <c r="L167" s="24" t="str">
        <f>IF($A167="","",IFERROR(INDEX('5'!$A$4:$A$103,MATCH($A167,'5'!$C$4:$C$103,0)),""))</f>
        <v/>
      </c>
      <c r="M167" s="15">
        <f>IF($A167="",0,IFERROR(INDEX('5'!$I$4:$I$103,MATCH($A167,'5'!$C$4:$C$103,0)),0))</f>
        <v>0</v>
      </c>
      <c r="N167" s="25" t="str">
        <f t="shared" si="10"/>
        <v/>
      </c>
      <c r="O167" s="26" t="str">
        <f t="shared" si="11"/>
        <v/>
      </c>
      <c r="AA167" t="str">
        <f>IF(ISNUMBER(SEARCH("Junior",Scherpenzeel!E102)),Scherpenzeel!C102,"")</f>
        <v/>
      </c>
      <c r="AB167">
        <f>IF(AA167="",0,IF(COUNTIF($AA$1:AA167,AA167)=1,1,0))</f>
        <v>0</v>
      </c>
      <c r="AC167" t="str">
        <f>IF(AB167=1,COUNTIF($AB$1:AB167,1),"")</f>
        <v/>
      </c>
    </row>
    <row r="168" spans="1:29" x14ac:dyDescent="0.25">
      <c r="A168" s="13" t="str">
        <f>IFERROR(INDEX($AA$1:$AA$368,MATCH(165,$AC$1:$AC$368,0)),"")</f>
        <v/>
      </c>
      <c r="B168" s="13" t="str">
        <f>IF($A168="","",IF(IFERROR(INDEX(Barneveld!$E$4:$E$36,MATCH($A168,Barneveld!$C$4:$C$36,0)),"")&lt;&gt;"",IFERROR(INDEX(Barneveld!$E$4:$E$36,MATCH($A168,Barneveld!$C$4:$C$36,0)),""),IF(IFERROR(INDEX(Baarn!$F$4:$F$38,MATCH($A168,Baarn!$C$4:$C$38,0)),"")&lt;&gt;"",IFERROR(INDEX(Baarn!$F$4:$F$38,MATCH($A168,Baarn!$C$4:$C$38,0)),""),IF(IFERROR(INDEX(Scherpenzeel!$F$4:$F$103,MATCH($A168,Scherpenzeel!$C$4:$C$103,0)),"")&lt;&gt;"",IFERROR(INDEX(Scherpenzeel!$F$4:$F$103,MATCH($A168,Scherpenzeel!$C$4:$C$103,0)),""),IF(IFERROR(INDEX('4'!$F$4:$F$103,MATCH($A168,'4'!$C$4:$C$103,0)),"")&lt;&gt;"",IFERROR(INDEX('4'!$F$4:$F$103,MATCH($A168,'4'!$C$4:$C$103,0)),""),IFERROR(INDEX('5'!$F$4:$F$103,MATCH($A168,'5'!$C$4:$C$103,0)),""))))))</f>
        <v/>
      </c>
      <c r="C168" s="13" t="str">
        <f>IF($A168="","",IF(IFERROR(INDEX(Barneveld!$D$4:$D$36,MATCH($A168,Barneveld!$C$4:$C$36,0)),"")&lt;&gt;"",IFERROR(INDEX(Barneveld!$D$4:$D$36,MATCH($A168,Barneveld!$C$4:$C$36,0)),""),IF(IFERROR(INDEX(Baarn!$E$4:$E$38,MATCH($A168,Baarn!$C$4:$C$38,0)),"")&lt;&gt;"",IFERROR(INDEX(Baarn!$E$4:$E$38,MATCH($A168,Baarn!$C$4:$C$38,0)),""),IF(IFERROR(INDEX(Scherpenzeel!$E$4:$E$103,MATCH($A168,Scherpenzeel!$C$4:$C$103,0)),"")&lt;&gt;"",IFERROR(INDEX(Scherpenzeel!$E$4:$E$103,MATCH($A168,Scherpenzeel!$C$4:$C$103,0)),""),IF(IFERROR(INDEX('4'!$E$4:$E$103,MATCH($A168,'4'!$C$4:$C$103,0)),"")&lt;&gt;"",IFERROR(INDEX('4'!$E$4:$E$103,MATCH($A168,'4'!$C$4:$C$103,0)),""),IFERROR(INDEX('5'!$E$4:$E$103,MATCH($A168,'5'!$C$4:$C$103,0)),""))))))</f>
        <v/>
      </c>
      <c r="D168" s="24" t="str">
        <f>IF($A168="","",IFERROR(INDEX(Barneveld!$A$4:$A$36,MATCH($A168,Barneveld!$C$4:$C$36,0)),""))</f>
        <v/>
      </c>
      <c r="E168" s="15">
        <f>IF($A168="",0,IFERROR(INDEX(Barneveld!$H$4:$H$36,MATCH($A168,Barneveld!$C$4:$C$36,0)),0))</f>
        <v>0</v>
      </c>
      <c r="F168" s="24" t="str">
        <f>IF($A168="","",IFERROR(INDEX(Baarn!$A$4:$A$38,MATCH($A168,Baarn!$C$4:$C$38,0)),""))</f>
        <v/>
      </c>
      <c r="G168" s="15">
        <f>IF($A168="",0,IFERROR(INDEX(Baarn!$I$4:$I$38,MATCH($A168,Baarn!$C$4:$C$38,0)),0))</f>
        <v>0</v>
      </c>
      <c r="H168" s="24" t="str">
        <f>IF($A168="","",IFERROR(INDEX(Scherpenzeel!$A$4:$A$103,MATCH($A168,Scherpenzeel!$C$4:$C$103,0)),""))</f>
        <v/>
      </c>
      <c r="I168" s="15">
        <f>IF($A168="",0,IFERROR(INDEX(Scherpenzeel!$I$4:$I$103,MATCH($A168,Scherpenzeel!$C$4:$C$103,0)),0))</f>
        <v>0</v>
      </c>
      <c r="J168" s="24" t="str">
        <f>IF($A168="","",IFERROR(INDEX('4'!$A$4:$A$103,MATCH($A168,'4'!$C$4:$C$103,0)),""))</f>
        <v/>
      </c>
      <c r="K168" s="15">
        <f>IF($A168="",0,IFERROR(INDEX('4'!$I$4:$I$103,MATCH($A168,'4'!$C$4:$C$103,0)),0))</f>
        <v>0</v>
      </c>
      <c r="L168" s="24" t="str">
        <f>IF($A168="","",IFERROR(INDEX('5'!$A$4:$A$103,MATCH($A168,'5'!$C$4:$C$103,0)),""))</f>
        <v/>
      </c>
      <c r="M168" s="15">
        <f>IF($A168="",0,IFERROR(INDEX('5'!$I$4:$I$103,MATCH($A168,'5'!$C$4:$C$103,0)),0))</f>
        <v>0</v>
      </c>
      <c r="N168" s="25" t="str">
        <f t="shared" si="10"/>
        <v/>
      </c>
      <c r="O168" s="26" t="str">
        <f t="shared" si="11"/>
        <v/>
      </c>
      <c r="AA168" t="str">
        <f>IF(ISNUMBER(SEARCH("Junior",Scherpenzeel!E103)),Scherpenzeel!C103,"")</f>
        <v/>
      </c>
      <c r="AB168">
        <f>IF(AA168="",0,IF(COUNTIF($AA$1:AA168,AA168)=1,1,0))</f>
        <v>0</v>
      </c>
      <c r="AC168" t="str">
        <f>IF(AB168=1,COUNTIF($AB$1:AB168,1),"")</f>
        <v/>
      </c>
    </row>
    <row r="169" spans="1:29" x14ac:dyDescent="0.25">
      <c r="A169" s="13" t="str">
        <f>IFERROR(INDEX($AA$1:$AA$368,MATCH(166,$AC$1:$AC$368,0)),"")</f>
        <v/>
      </c>
      <c r="B169" s="13" t="str">
        <f>IF($A169="","",IF(IFERROR(INDEX(Barneveld!$E$4:$E$36,MATCH($A169,Barneveld!$C$4:$C$36,0)),"")&lt;&gt;"",IFERROR(INDEX(Barneveld!$E$4:$E$36,MATCH($A169,Barneveld!$C$4:$C$36,0)),""),IF(IFERROR(INDEX(Baarn!$F$4:$F$38,MATCH($A169,Baarn!$C$4:$C$38,0)),"")&lt;&gt;"",IFERROR(INDEX(Baarn!$F$4:$F$38,MATCH($A169,Baarn!$C$4:$C$38,0)),""),IF(IFERROR(INDEX(Scherpenzeel!$F$4:$F$103,MATCH($A169,Scherpenzeel!$C$4:$C$103,0)),"")&lt;&gt;"",IFERROR(INDEX(Scherpenzeel!$F$4:$F$103,MATCH($A169,Scherpenzeel!$C$4:$C$103,0)),""),IF(IFERROR(INDEX('4'!$F$4:$F$103,MATCH($A169,'4'!$C$4:$C$103,0)),"")&lt;&gt;"",IFERROR(INDEX('4'!$F$4:$F$103,MATCH($A169,'4'!$C$4:$C$103,0)),""),IFERROR(INDEX('5'!$F$4:$F$103,MATCH($A169,'5'!$C$4:$C$103,0)),""))))))</f>
        <v/>
      </c>
      <c r="C169" s="13" t="str">
        <f>IF($A169="","",IF(IFERROR(INDEX(Barneveld!$D$4:$D$36,MATCH($A169,Barneveld!$C$4:$C$36,0)),"")&lt;&gt;"",IFERROR(INDEX(Barneveld!$D$4:$D$36,MATCH($A169,Barneveld!$C$4:$C$36,0)),""),IF(IFERROR(INDEX(Baarn!$E$4:$E$38,MATCH($A169,Baarn!$C$4:$C$38,0)),"")&lt;&gt;"",IFERROR(INDEX(Baarn!$E$4:$E$38,MATCH($A169,Baarn!$C$4:$C$38,0)),""),IF(IFERROR(INDEX(Scherpenzeel!$E$4:$E$103,MATCH($A169,Scherpenzeel!$C$4:$C$103,0)),"")&lt;&gt;"",IFERROR(INDEX(Scherpenzeel!$E$4:$E$103,MATCH($A169,Scherpenzeel!$C$4:$C$103,0)),""),IF(IFERROR(INDEX('4'!$E$4:$E$103,MATCH($A169,'4'!$C$4:$C$103,0)),"")&lt;&gt;"",IFERROR(INDEX('4'!$E$4:$E$103,MATCH($A169,'4'!$C$4:$C$103,0)),""),IFERROR(INDEX('5'!$E$4:$E$103,MATCH($A169,'5'!$C$4:$C$103,0)),""))))))</f>
        <v/>
      </c>
      <c r="D169" s="24" t="str">
        <f>IF($A169="","",IFERROR(INDEX(Barneveld!$A$4:$A$36,MATCH($A169,Barneveld!$C$4:$C$36,0)),""))</f>
        <v/>
      </c>
      <c r="E169" s="15">
        <f>IF($A169="",0,IFERROR(INDEX(Barneveld!$H$4:$H$36,MATCH($A169,Barneveld!$C$4:$C$36,0)),0))</f>
        <v>0</v>
      </c>
      <c r="F169" s="24" t="str">
        <f>IF($A169="","",IFERROR(INDEX(Baarn!$A$4:$A$38,MATCH($A169,Baarn!$C$4:$C$38,0)),""))</f>
        <v/>
      </c>
      <c r="G169" s="15">
        <f>IF($A169="",0,IFERROR(INDEX(Baarn!$I$4:$I$38,MATCH($A169,Baarn!$C$4:$C$38,0)),0))</f>
        <v>0</v>
      </c>
      <c r="H169" s="24" t="str">
        <f>IF($A169="","",IFERROR(INDEX(Scherpenzeel!$A$4:$A$103,MATCH($A169,Scherpenzeel!$C$4:$C$103,0)),""))</f>
        <v/>
      </c>
      <c r="I169" s="15">
        <f>IF($A169="",0,IFERROR(INDEX(Scherpenzeel!$I$4:$I$103,MATCH($A169,Scherpenzeel!$C$4:$C$103,0)),0))</f>
        <v>0</v>
      </c>
      <c r="J169" s="24" t="str">
        <f>IF($A169="","",IFERROR(INDEX('4'!$A$4:$A$103,MATCH($A169,'4'!$C$4:$C$103,0)),""))</f>
        <v/>
      </c>
      <c r="K169" s="15">
        <f>IF($A169="",0,IFERROR(INDEX('4'!$I$4:$I$103,MATCH($A169,'4'!$C$4:$C$103,0)),0))</f>
        <v>0</v>
      </c>
      <c r="L169" s="24" t="str">
        <f>IF($A169="","",IFERROR(INDEX('5'!$A$4:$A$103,MATCH($A169,'5'!$C$4:$C$103,0)),""))</f>
        <v/>
      </c>
      <c r="M169" s="15">
        <f>IF($A169="",0,IFERROR(INDEX('5'!$I$4:$I$103,MATCH($A169,'5'!$C$4:$C$103,0)),0))</f>
        <v>0</v>
      </c>
      <c r="N169" s="25" t="str">
        <f t="shared" si="10"/>
        <v/>
      </c>
      <c r="O169" s="26" t="str">
        <f t="shared" si="11"/>
        <v/>
      </c>
      <c r="AA169" t="str">
        <f>IF(ISNUMBER(SEARCH("Junior",'4'!E4)),'4'!C4,"")</f>
        <v/>
      </c>
      <c r="AB169">
        <f>IF(AA169="",0,IF(COUNTIF($AA$1:AA169,AA169)=1,1,0))</f>
        <v>0</v>
      </c>
      <c r="AC169" t="str">
        <f>IF(AB169=1,COUNTIF($AB$1:AB169,1),"")</f>
        <v/>
      </c>
    </row>
    <row r="170" spans="1:29" x14ac:dyDescent="0.25">
      <c r="A170" s="13" t="str">
        <f>IFERROR(INDEX($AA$1:$AA$368,MATCH(167,$AC$1:$AC$368,0)),"")</f>
        <v/>
      </c>
      <c r="B170" s="13" t="str">
        <f>IF($A170="","",IF(IFERROR(INDEX(Barneveld!$E$4:$E$36,MATCH($A170,Barneveld!$C$4:$C$36,0)),"")&lt;&gt;"",IFERROR(INDEX(Barneveld!$E$4:$E$36,MATCH($A170,Barneveld!$C$4:$C$36,0)),""),IF(IFERROR(INDEX(Baarn!$F$4:$F$38,MATCH($A170,Baarn!$C$4:$C$38,0)),"")&lt;&gt;"",IFERROR(INDEX(Baarn!$F$4:$F$38,MATCH($A170,Baarn!$C$4:$C$38,0)),""),IF(IFERROR(INDEX(Scherpenzeel!$F$4:$F$103,MATCH($A170,Scherpenzeel!$C$4:$C$103,0)),"")&lt;&gt;"",IFERROR(INDEX(Scherpenzeel!$F$4:$F$103,MATCH($A170,Scherpenzeel!$C$4:$C$103,0)),""),IF(IFERROR(INDEX('4'!$F$4:$F$103,MATCH($A170,'4'!$C$4:$C$103,0)),"")&lt;&gt;"",IFERROR(INDEX('4'!$F$4:$F$103,MATCH($A170,'4'!$C$4:$C$103,0)),""),IFERROR(INDEX('5'!$F$4:$F$103,MATCH($A170,'5'!$C$4:$C$103,0)),""))))))</f>
        <v/>
      </c>
      <c r="C170" s="13" t="str">
        <f>IF($A170="","",IF(IFERROR(INDEX(Barneveld!$D$4:$D$36,MATCH($A170,Barneveld!$C$4:$C$36,0)),"")&lt;&gt;"",IFERROR(INDEX(Barneveld!$D$4:$D$36,MATCH($A170,Barneveld!$C$4:$C$36,0)),""),IF(IFERROR(INDEX(Baarn!$E$4:$E$38,MATCH($A170,Baarn!$C$4:$C$38,0)),"")&lt;&gt;"",IFERROR(INDEX(Baarn!$E$4:$E$38,MATCH($A170,Baarn!$C$4:$C$38,0)),""),IF(IFERROR(INDEX(Scherpenzeel!$E$4:$E$103,MATCH($A170,Scherpenzeel!$C$4:$C$103,0)),"")&lt;&gt;"",IFERROR(INDEX(Scherpenzeel!$E$4:$E$103,MATCH($A170,Scherpenzeel!$C$4:$C$103,0)),""),IF(IFERROR(INDEX('4'!$E$4:$E$103,MATCH($A170,'4'!$C$4:$C$103,0)),"")&lt;&gt;"",IFERROR(INDEX('4'!$E$4:$E$103,MATCH($A170,'4'!$C$4:$C$103,0)),""),IFERROR(INDEX('5'!$E$4:$E$103,MATCH($A170,'5'!$C$4:$C$103,0)),""))))))</f>
        <v/>
      </c>
      <c r="D170" s="24" t="str">
        <f>IF($A170="","",IFERROR(INDEX(Barneveld!$A$4:$A$36,MATCH($A170,Barneveld!$C$4:$C$36,0)),""))</f>
        <v/>
      </c>
      <c r="E170" s="15">
        <f>IF($A170="",0,IFERROR(INDEX(Barneveld!$H$4:$H$36,MATCH($A170,Barneveld!$C$4:$C$36,0)),0))</f>
        <v>0</v>
      </c>
      <c r="F170" s="24" t="str">
        <f>IF($A170="","",IFERROR(INDEX(Baarn!$A$4:$A$38,MATCH($A170,Baarn!$C$4:$C$38,0)),""))</f>
        <v/>
      </c>
      <c r="G170" s="15">
        <f>IF($A170="",0,IFERROR(INDEX(Baarn!$I$4:$I$38,MATCH($A170,Baarn!$C$4:$C$38,0)),0))</f>
        <v>0</v>
      </c>
      <c r="H170" s="24" t="str">
        <f>IF($A170="","",IFERROR(INDEX(Scherpenzeel!$A$4:$A$103,MATCH($A170,Scherpenzeel!$C$4:$C$103,0)),""))</f>
        <v/>
      </c>
      <c r="I170" s="15">
        <f>IF($A170="",0,IFERROR(INDEX(Scherpenzeel!$I$4:$I$103,MATCH($A170,Scherpenzeel!$C$4:$C$103,0)),0))</f>
        <v>0</v>
      </c>
      <c r="J170" s="24" t="str">
        <f>IF($A170="","",IFERROR(INDEX('4'!$A$4:$A$103,MATCH($A170,'4'!$C$4:$C$103,0)),""))</f>
        <v/>
      </c>
      <c r="K170" s="15">
        <f>IF($A170="",0,IFERROR(INDEX('4'!$I$4:$I$103,MATCH($A170,'4'!$C$4:$C$103,0)),0))</f>
        <v>0</v>
      </c>
      <c r="L170" s="24" t="str">
        <f>IF($A170="","",IFERROR(INDEX('5'!$A$4:$A$103,MATCH($A170,'5'!$C$4:$C$103,0)),""))</f>
        <v/>
      </c>
      <c r="M170" s="15">
        <f>IF($A170="",0,IFERROR(INDEX('5'!$I$4:$I$103,MATCH($A170,'5'!$C$4:$C$103,0)),0))</f>
        <v>0</v>
      </c>
      <c r="N170" s="25" t="str">
        <f t="shared" si="10"/>
        <v/>
      </c>
      <c r="O170" s="26" t="str">
        <f t="shared" si="11"/>
        <v/>
      </c>
      <c r="AA170" t="str">
        <f>IF(ISNUMBER(SEARCH("Junior",'4'!E5)),'4'!C5,"")</f>
        <v/>
      </c>
      <c r="AB170">
        <f>IF(AA170="",0,IF(COUNTIF($AA$1:AA170,AA170)=1,1,0))</f>
        <v>0</v>
      </c>
      <c r="AC170" t="str">
        <f>IF(AB170=1,COUNTIF($AB$1:AB170,1),"")</f>
        <v/>
      </c>
    </row>
    <row r="171" spans="1:29" x14ac:dyDescent="0.25">
      <c r="A171" s="13" t="str">
        <f>IFERROR(INDEX($AA$1:$AA$368,MATCH(168,$AC$1:$AC$368,0)),"")</f>
        <v/>
      </c>
      <c r="B171" s="13" t="str">
        <f>IF($A171="","",IF(IFERROR(INDEX(Barneveld!$E$4:$E$36,MATCH($A171,Barneveld!$C$4:$C$36,0)),"")&lt;&gt;"",IFERROR(INDEX(Barneveld!$E$4:$E$36,MATCH($A171,Barneveld!$C$4:$C$36,0)),""),IF(IFERROR(INDEX(Baarn!$F$4:$F$38,MATCH($A171,Baarn!$C$4:$C$38,0)),"")&lt;&gt;"",IFERROR(INDEX(Baarn!$F$4:$F$38,MATCH($A171,Baarn!$C$4:$C$38,0)),""),IF(IFERROR(INDEX(Scherpenzeel!$F$4:$F$103,MATCH($A171,Scherpenzeel!$C$4:$C$103,0)),"")&lt;&gt;"",IFERROR(INDEX(Scherpenzeel!$F$4:$F$103,MATCH($A171,Scherpenzeel!$C$4:$C$103,0)),""),IF(IFERROR(INDEX('4'!$F$4:$F$103,MATCH($A171,'4'!$C$4:$C$103,0)),"")&lt;&gt;"",IFERROR(INDEX('4'!$F$4:$F$103,MATCH($A171,'4'!$C$4:$C$103,0)),""),IFERROR(INDEX('5'!$F$4:$F$103,MATCH($A171,'5'!$C$4:$C$103,0)),""))))))</f>
        <v/>
      </c>
      <c r="C171" s="13" t="str">
        <f>IF($A171="","",IF(IFERROR(INDEX(Barneveld!$D$4:$D$36,MATCH($A171,Barneveld!$C$4:$C$36,0)),"")&lt;&gt;"",IFERROR(INDEX(Barneveld!$D$4:$D$36,MATCH($A171,Barneveld!$C$4:$C$36,0)),""),IF(IFERROR(INDEX(Baarn!$E$4:$E$38,MATCH($A171,Baarn!$C$4:$C$38,0)),"")&lt;&gt;"",IFERROR(INDEX(Baarn!$E$4:$E$38,MATCH($A171,Baarn!$C$4:$C$38,0)),""),IF(IFERROR(INDEX(Scherpenzeel!$E$4:$E$103,MATCH($A171,Scherpenzeel!$C$4:$C$103,0)),"")&lt;&gt;"",IFERROR(INDEX(Scherpenzeel!$E$4:$E$103,MATCH($A171,Scherpenzeel!$C$4:$C$103,0)),""),IF(IFERROR(INDEX('4'!$E$4:$E$103,MATCH($A171,'4'!$C$4:$C$103,0)),"")&lt;&gt;"",IFERROR(INDEX('4'!$E$4:$E$103,MATCH($A171,'4'!$C$4:$C$103,0)),""),IFERROR(INDEX('5'!$E$4:$E$103,MATCH($A171,'5'!$C$4:$C$103,0)),""))))))</f>
        <v/>
      </c>
      <c r="D171" s="24" t="str">
        <f>IF($A171="","",IFERROR(INDEX(Barneveld!$A$4:$A$36,MATCH($A171,Barneveld!$C$4:$C$36,0)),""))</f>
        <v/>
      </c>
      <c r="E171" s="15">
        <f>IF($A171="",0,IFERROR(INDEX(Barneveld!$H$4:$H$36,MATCH($A171,Barneveld!$C$4:$C$36,0)),0))</f>
        <v>0</v>
      </c>
      <c r="F171" s="24" t="str">
        <f>IF($A171="","",IFERROR(INDEX(Baarn!$A$4:$A$38,MATCH($A171,Baarn!$C$4:$C$38,0)),""))</f>
        <v/>
      </c>
      <c r="G171" s="15">
        <f>IF($A171="",0,IFERROR(INDEX(Baarn!$I$4:$I$38,MATCH($A171,Baarn!$C$4:$C$38,0)),0))</f>
        <v>0</v>
      </c>
      <c r="H171" s="24" t="str">
        <f>IF($A171="","",IFERROR(INDEX(Scherpenzeel!$A$4:$A$103,MATCH($A171,Scherpenzeel!$C$4:$C$103,0)),""))</f>
        <v/>
      </c>
      <c r="I171" s="15">
        <f>IF($A171="",0,IFERROR(INDEX(Scherpenzeel!$I$4:$I$103,MATCH($A171,Scherpenzeel!$C$4:$C$103,0)),0))</f>
        <v>0</v>
      </c>
      <c r="J171" s="24" t="str">
        <f>IF($A171="","",IFERROR(INDEX('4'!$A$4:$A$103,MATCH($A171,'4'!$C$4:$C$103,0)),""))</f>
        <v/>
      </c>
      <c r="K171" s="15">
        <f>IF($A171="",0,IFERROR(INDEX('4'!$I$4:$I$103,MATCH($A171,'4'!$C$4:$C$103,0)),0))</f>
        <v>0</v>
      </c>
      <c r="L171" s="24" t="str">
        <f>IF($A171="","",IFERROR(INDEX('5'!$A$4:$A$103,MATCH($A171,'5'!$C$4:$C$103,0)),""))</f>
        <v/>
      </c>
      <c r="M171" s="15">
        <f>IF($A171="",0,IFERROR(INDEX('5'!$I$4:$I$103,MATCH($A171,'5'!$C$4:$C$103,0)),0))</f>
        <v>0</v>
      </c>
      <c r="N171" s="25" t="str">
        <f t="shared" si="10"/>
        <v/>
      </c>
      <c r="O171" s="26" t="str">
        <f t="shared" si="11"/>
        <v/>
      </c>
      <c r="AA171" t="str">
        <f>IF(ISNUMBER(SEARCH("Junior",'4'!E6)),'4'!C6,"")</f>
        <v/>
      </c>
      <c r="AB171">
        <f>IF(AA171="",0,IF(COUNTIF($AA$1:AA171,AA171)=1,1,0))</f>
        <v>0</v>
      </c>
      <c r="AC171" t="str">
        <f>IF(AB171=1,COUNTIF($AB$1:AB171,1),"")</f>
        <v/>
      </c>
    </row>
    <row r="172" spans="1:29" x14ac:dyDescent="0.25">
      <c r="A172" s="13" t="str">
        <f>IFERROR(INDEX($AA$1:$AA$368,MATCH(169,$AC$1:$AC$368,0)),"")</f>
        <v/>
      </c>
      <c r="B172" s="13" t="str">
        <f>IF($A172="","",IF(IFERROR(INDEX(Barneveld!$E$4:$E$36,MATCH($A172,Barneveld!$C$4:$C$36,0)),"")&lt;&gt;"",IFERROR(INDEX(Barneveld!$E$4:$E$36,MATCH($A172,Barneveld!$C$4:$C$36,0)),""),IF(IFERROR(INDEX(Baarn!$F$4:$F$38,MATCH($A172,Baarn!$C$4:$C$38,0)),"")&lt;&gt;"",IFERROR(INDEX(Baarn!$F$4:$F$38,MATCH($A172,Baarn!$C$4:$C$38,0)),""),IF(IFERROR(INDEX(Scherpenzeel!$F$4:$F$103,MATCH($A172,Scherpenzeel!$C$4:$C$103,0)),"")&lt;&gt;"",IFERROR(INDEX(Scherpenzeel!$F$4:$F$103,MATCH($A172,Scherpenzeel!$C$4:$C$103,0)),""),IF(IFERROR(INDEX('4'!$F$4:$F$103,MATCH($A172,'4'!$C$4:$C$103,0)),"")&lt;&gt;"",IFERROR(INDEX('4'!$F$4:$F$103,MATCH($A172,'4'!$C$4:$C$103,0)),""),IFERROR(INDEX('5'!$F$4:$F$103,MATCH($A172,'5'!$C$4:$C$103,0)),""))))))</f>
        <v/>
      </c>
      <c r="C172" s="13" t="str">
        <f>IF($A172="","",IF(IFERROR(INDEX(Barneveld!$D$4:$D$36,MATCH($A172,Barneveld!$C$4:$C$36,0)),"")&lt;&gt;"",IFERROR(INDEX(Barneveld!$D$4:$D$36,MATCH($A172,Barneveld!$C$4:$C$36,0)),""),IF(IFERROR(INDEX(Baarn!$E$4:$E$38,MATCH($A172,Baarn!$C$4:$C$38,0)),"")&lt;&gt;"",IFERROR(INDEX(Baarn!$E$4:$E$38,MATCH($A172,Baarn!$C$4:$C$38,0)),""),IF(IFERROR(INDEX(Scherpenzeel!$E$4:$E$103,MATCH($A172,Scherpenzeel!$C$4:$C$103,0)),"")&lt;&gt;"",IFERROR(INDEX(Scherpenzeel!$E$4:$E$103,MATCH($A172,Scherpenzeel!$C$4:$C$103,0)),""),IF(IFERROR(INDEX('4'!$E$4:$E$103,MATCH($A172,'4'!$C$4:$C$103,0)),"")&lt;&gt;"",IFERROR(INDEX('4'!$E$4:$E$103,MATCH($A172,'4'!$C$4:$C$103,0)),""),IFERROR(INDEX('5'!$E$4:$E$103,MATCH($A172,'5'!$C$4:$C$103,0)),""))))))</f>
        <v/>
      </c>
      <c r="D172" s="24" t="str">
        <f>IF($A172="","",IFERROR(INDEX(Barneveld!$A$4:$A$36,MATCH($A172,Barneveld!$C$4:$C$36,0)),""))</f>
        <v/>
      </c>
      <c r="E172" s="15">
        <f>IF($A172="",0,IFERROR(INDEX(Barneveld!$H$4:$H$36,MATCH($A172,Barneveld!$C$4:$C$36,0)),0))</f>
        <v>0</v>
      </c>
      <c r="F172" s="24" t="str">
        <f>IF($A172="","",IFERROR(INDEX(Baarn!$A$4:$A$38,MATCH($A172,Baarn!$C$4:$C$38,0)),""))</f>
        <v/>
      </c>
      <c r="G172" s="15">
        <f>IF($A172="",0,IFERROR(INDEX(Baarn!$I$4:$I$38,MATCH($A172,Baarn!$C$4:$C$38,0)),0))</f>
        <v>0</v>
      </c>
      <c r="H172" s="24" t="str">
        <f>IF($A172="","",IFERROR(INDEX(Scherpenzeel!$A$4:$A$103,MATCH($A172,Scherpenzeel!$C$4:$C$103,0)),""))</f>
        <v/>
      </c>
      <c r="I172" s="15">
        <f>IF($A172="",0,IFERROR(INDEX(Scherpenzeel!$I$4:$I$103,MATCH($A172,Scherpenzeel!$C$4:$C$103,0)),0))</f>
        <v>0</v>
      </c>
      <c r="J172" s="24" t="str">
        <f>IF($A172="","",IFERROR(INDEX('4'!$A$4:$A$103,MATCH($A172,'4'!$C$4:$C$103,0)),""))</f>
        <v/>
      </c>
      <c r="K172" s="15">
        <f>IF($A172="",0,IFERROR(INDEX('4'!$I$4:$I$103,MATCH($A172,'4'!$C$4:$C$103,0)),0))</f>
        <v>0</v>
      </c>
      <c r="L172" s="24" t="str">
        <f>IF($A172="","",IFERROR(INDEX('5'!$A$4:$A$103,MATCH($A172,'5'!$C$4:$C$103,0)),""))</f>
        <v/>
      </c>
      <c r="M172" s="15">
        <f>IF($A172="",0,IFERROR(INDEX('5'!$I$4:$I$103,MATCH($A172,'5'!$C$4:$C$103,0)),0))</f>
        <v>0</v>
      </c>
      <c r="N172" s="25" t="str">
        <f t="shared" si="10"/>
        <v/>
      </c>
      <c r="O172" s="26" t="str">
        <f t="shared" si="11"/>
        <v/>
      </c>
      <c r="AA172" t="str">
        <f>IF(ISNUMBER(SEARCH("Junior",'4'!E7)),'4'!C7,"")</f>
        <v/>
      </c>
      <c r="AB172">
        <f>IF(AA172="",0,IF(COUNTIF($AA$1:AA172,AA172)=1,1,0))</f>
        <v>0</v>
      </c>
      <c r="AC172" t="str">
        <f>IF(AB172=1,COUNTIF($AB$1:AB172,1),"")</f>
        <v/>
      </c>
    </row>
    <row r="173" spans="1:29" x14ac:dyDescent="0.25">
      <c r="A173" s="13" t="str">
        <f>IFERROR(INDEX($AA$1:$AA$368,MATCH(170,$AC$1:$AC$368,0)),"")</f>
        <v/>
      </c>
      <c r="B173" s="13" t="str">
        <f>IF($A173="","",IF(IFERROR(INDEX(Barneveld!$E$4:$E$36,MATCH($A173,Barneveld!$C$4:$C$36,0)),"")&lt;&gt;"",IFERROR(INDEX(Barneveld!$E$4:$E$36,MATCH($A173,Barneveld!$C$4:$C$36,0)),""),IF(IFERROR(INDEX(Baarn!$F$4:$F$38,MATCH($A173,Baarn!$C$4:$C$38,0)),"")&lt;&gt;"",IFERROR(INDEX(Baarn!$F$4:$F$38,MATCH($A173,Baarn!$C$4:$C$38,0)),""),IF(IFERROR(INDEX(Scherpenzeel!$F$4:$F$103,MATCH($A173,Scherpenzeel!$C$4:$C$103,0)),"")&lt;&gt;"",IFERROR(INDEX(Scherpenzeel!$F$4:$F$103,MATCH($A173,Scherpenzeel!$C$4:$C$103,0)),""),IF(IFERROR(INDEX('4'!$F$4:$F$103,MATCH($A173,'4'!$C$4:$C$103,0)),"")&lt;&gt;"",IFERROR(INDEX('4'!$F$4:$F$103,MATCH($A173,'4'!$C$4:$C$103,0)),""),IFERROR(INDEX('5'!$F$4:$F$103,MATCH($A173,'5'!$C$4:$C$103,0)),""))))))</f>
        <v/>
      </c>
      <c r="C173" s="13" t="str">
        <f>IF($A173="","",IF(IFERROR(INDEX(Barneveld!$D$4:$D$36,MATCH($A173,Barneveld!$C$4:$C$36,0)),"")&lt;&gt;"",IFERROR(INDEX(Barneveld!$D$4:$D$36,MATCH($A173,Barneveld!$C$4:$C$36,0)),""),IF(IFERROR(INDEX(Baarn!$E$4:$E$38,MATCH($A173,Baarn!$C$4:$C$38,0)),"")&lt;&gt;"",IFERROR(INDEX(Baarn!$E$4:$E$38,MATCH($A173,Baarn!$C$4:$C$38,0)),""),IF(IFERROR(INDEX(Scherpenzeel!$E$4:$E$103,MATCH($A173,Scherpenzeel!$C$4:$C$103,0)),"")&lt;&gt;"",IFERROR(INDEX(Scherpenzeel!$E$4:$E$103,MATCH($A173,Scherpenzeel!$C$4:$C$103,0)),""),IF(IFERROR(INDEX('4'!$E$4:$E$103,MATCH($A173,'4'!$C$4:$C$103,0)),"")&lt;&gt;"",IFERROR(INDEX('4'!$E$4:$E$103,MATCH($A173,'4'!$C$4:$C$103,0)),""),IFERROR(INDEX('5'!$E$4:$E$103,MATCH($A173,'5'!$C$4:$C$103,0)),""))))))</f>
        <v/>
      </c>
      <c r="D173" s="24" t="str">
        <f>IF($A173="","",IFERROR(INDEX(Barneveld!$A$4:$A$36,MATCH($A173,Barneveld!$C$4:$C$36,0)),""))</f>
        <v/>
      </c>
      <c r="E173" s="15">
        <f>IF($A173="",0,IFERROR(INDEX(Barneveld!$H$4:$H$36,MATCH($A173,Barneveld!$C$4:$C$36,0)),0))</f>
        <v>0</v>
      </c>
      <c r="F173" s="24" t="str">
        <f>IF($A173="","",IFERROR(INDEX(Baarn!$A$4:$A$38,MATCH($A173,Baarn!$C$4:$C$38,0)),""))</f>
        <v/>
      </c>
      <c r="G173" s="15">
        <f>IF($A173="",0,IFERROR(INDEX(Baarn!$I$4:$I$38,MATCH($A173,Baarn!$C$4:$C$38,0)),0))</f>
        <v>0</v>
      </c>
      <c r="H173" s="24" t="str">
        <f>IF($A173="","",IFERROR(INDEX(Scherpenzeel!$A$4:$A$103,MATCH($A173,Scherpenzeel!$C$4:$C$103,0)),""))</f>
        <v/>
      </c>
      <c r="I173" s="15">
        <f>IF($A173="",0,IFERROR(INDEX(Scherpenzeel!$I$4:$I$103,MATCH($A173,Scherpenzeel!$C$4:$C$103,0)),0))</f>
        <v>0</v>
      </c>
      <c r="J173" s="24" t="str">
        <f>IF($A173="","",IFERROR(INDEX('4'!$A$4:$A$103,MATCH($A173,'4'!$C$4:$C$103,0)),""))</f>
        <v/>
      </c>
      <c r="K173" s="15">
        <f>IF($A173="",0,IFERROR(INDEX('4'!$I$4:$I$103,MATCH($A173,'4'!$C$4:$C$103,0)),0))</f>
        <v>0</v>
      </c>
      <c r="L173" s="24" t="str">
        <f>IF($A173="","",IFERROR(INDEX('5'!$A$4:$A$103,MATCH($A173,'5'!$C$4:$C$103,0)),""))</f>
        <v/>
      </c>
      <c r="M173" s="15">
        <f>IF($A173="",0,IFERROR(INDEX('5'!$I$4:$I$103,MATCH($A173,'5'!$C$4:$C$103,0)),0))</f>
        <v>0</v>
      </c>
      <c r="N173" s="25" t="str">
        <f t="shared" si="10"/>
        <v/>
      </c>
      <c r="O173" s="26" t="str">
        <f t="shared" si="11"/>
        <v/>
      </c>
      <c r="AA173" t="str">
        <f>IF(ISNUMBER(SEARCH("Junior",'4'!E8)),'4'!C8,"")</f>
        <v/>
      </c>
      <c r="AB173">
        <f>IF(AA173="",0,IF(COUNTIF($AA$1:AA173,AA173)=1,1,0))</f>
        <v>0</v>
      </c>
      <c r="AC173" t="str">
        <f>IF(AB173=1,COUNTIF($AB$1:AB173,1),"")</f>
        <v/>
      </c>
    </row>
    <row r="174" spans="1:29" x14ac:dyDescent="0.25">
      <c r="A174" s="13" t="str">
        <f>IFERROR(INDEX($AA$1:$AA$368,MATCH(171,$AC$1:$AC$368,0)),"")</f>
        <v/>
      </c>
      <c r="B174" s="13" t="str">
        <f>IF($A174="","",IF(IFERROR(INDEX(Barneveld!$E$4:$E$36,MATCH($A174,Barneveld!$C$4:$C$36,0)),"")&lt;&gt;"",IFERROR(INDEX(Barneveld!$E$4:$E$36,MATCH($A174,Barneveld!$C$4:$C$36,0)),""),IF(IFERROR(INDEX(Baarn!$F$4:$F$38,MATCH($A174,Baarn!$C$4:$C$38,0)),"")&lt;&gt;"",IFERROR(INDEX(Baarn!$F$4:$F$38,MATCH($A174,Baarn!$C$4:$C$38,0)),""),IF(IFERROR(INDEX(Scherpenzeel!$F$4:$F$103,MATCH($A174,Scherpenzeel!$C$4:$C$103,0)),"")&lt;&gt;"",IFERROR(INDEX(Scherpenzeel!$F$4:$F$103,MATCH($A174,Scherpenzeel!$C$4:$C$103,0)),""),IF(IFERROR(INDEX('4'!$F$4:$F$103,MATCH($A174,'4'!$C$4:$C$103,0)),"")&lt;&gt;"",IFERROR(INDEX('4'!$F$4:$F$103,MATCH($A174,'4'!$C$4:$C$103,0)),""),IFERROR(INDEX('5'!$F$4:$F$103,MATCH($A174,'5'!$C$4:$C$103,0)),""))))))</f>
        <v/>
      </c>
      <c r="C174" s="13" t="str">
        <f>IF($A174="","",IF(IFERROR(INDEX(Barneveld!$D$4:$D$36,MATCH($A174,Barneveld!$C$4:$C$36,0)),"")&lt;&gt;"",IFERROR(INDEX(Barneveld!$D$4:$D$36,MATCH($A174,Barneveld!$C$4:$C$36,0)),""),IF(IFERROR(INDEX(Baarn!$E$4:$E$38,MATCH($A174,Baarn!$C$4:$C$38,0)),"")&lt;&gt;"",IFERROR(INDEX(Baarn!$E$4:$E$38,MATCH($A174,Baarn!$C$4:$C$38,0)),""),IF(IFERROR(INDEX(Scherpenzeel!$E$4:$E$103,MATCH($A174,Scherpenzeel!$C$4:$C$103,0)),"")&lt;&gt;"",IFERROR(INDEX(Scherpenzeel!$E$4:$E$103,MATCH($A174,Scherpenzeel!$C$4:$C$103,0)),""),IF(IFERROR(INDEX('4'!$E$4:$E$103,MATCH($A174,'4'!$C$4:$C$103,0)),"")&lt;&gt;"",IFERROR(INDEX('4'!$E$4:$E$103,MATCH($A174,'4'!$C$4:$C$103,0)),""),IFERROR(INDEX('5'!$E$4:$E$103,MATCH($A174,'5'!$C$4:$C$103,0)),""))))))</f>
        <v/>
      </c>
      <c r="D174" s="24" t="str">
        <f>IF($A174="","",IFERROR(INDEX(Barneveld!$A$4:$A$36,MATCH($A174,Barneveld!$C$4:$C$36,0)),""))</f>
        <v/>
      </c>
      <c r="E174" s="15">
        <f>IF($A174="",0,IFERROR(INDEX(Barneveld!$H$4:$H$36,MATCH($A174,Barneveld!$C$4:$C$36,0)),0))</f>
        <v>0</v>
      </c>
      <c r="F174" s="24" t="str">
        <f>IF($A174="","",IFERROR(INDEX(Baarn!$A$4:$A$38,MATCH($A174,Baarn!$C$4:$C$38,0)),""))</f>
        <v/>
      </c>
      <c r="G174" s="15">
        <f>IF($A174="",0,IFERROR(INDEX(Baarn!$I$4:$I$38,MATCH($A174,Baarn!$C$4:$C$38,0)),0))</f>
        <v>0</v>
      </c>
      <c r="H174" s="24" t="str">
        <f>IF($A174="","",IFERROR(INDEX(Scherpenzeel!$A$4:$A$103,MATCH($A174,Scherpenzeel!$C$4:$C$103,0)),""))</f>
        <v/>
      </c>
      <c r="I174" s="15">
        <f>IF($A174="",0,IFERROR(INDEX(Scherpenzeel!$I$4:$I$103,MATCH($A174,Scherpenzeel!$C$4:$C$103,0)),0))</f>
        <v>0</v>
      </c>
      <c r="J174" s="24" t="str">
        <f>IF($A174="","",IFERROR(INDEX('4'!$A$4:$A$103,MATCH($A174,'4'!$C$4:$C$103,0)),""))</f>
        <v/>
      </c>
      <c r="K174" s="15">
        <f>IF($A174="",0,IFERROR(INDEX('4'!$I$4:$I$103,MATCH($A174,'4'!$C$4:$C$103,0)),0))</f>
        <v>0</v>
      </c>
      <c r="L174" s="24" t="str">
        <f>IF($A174="","",IFERROR(INDEX('5'!$A$4:$A$103,MATCH($A174,'5'!$C$4:$C$103,0)),""))</f>
        <v/>
      </c>
      <c r="M174" s="15">
        <f>IF($A174="",0,IFERROR(INDEX('5'!$I$4:$I$103,MATCH($A174,'5'!$C$4:$C$103,0)),0))</f>
        <v>0</v>
      </c>
      <c r="N174" s="25" t="str">
        <f t="shared" si="10"/>
        <v/>
      </c>
      <c r="O174" s="26" t="str">
        <f t="shared" si="11"/>
        <v/>
      </c>
      <c r="AA174" t="str">
        <f>IF(ISNUMBER(SEARCH("Junior",'4'!E9)),'4'!C9,"")</f>
        <v/>
      </c>
      <c r="AB174">
        <f>IF(AA174="",0,IF(COUNTIF($AA$1:AA174,AA174)=1,1,0))</f>
        <v>0</v>
      </c>
      <c r="AC174" t="str">
        <f>IF(AB174=1,COUNTIF($AB$1:AB174,1),"")</f>
        <v/>
      </c>
    </row>
    <row r="175" spans="1:29" x14ac:dyDescent="0.25">
      <c r="A175" s="13" t="str">
        <f>IFERROR(INDEX($AA$1:$AA$368,MATCH(172,$AC$1:$AC$368,0)),"")</f>
        <v/>
      </c>
      <c r="B175" s="13" t="str">
        <f>IF($A175="","",IF(IFERROR(INDEX(Barneveld!$E$4:$E$36,MATCH($A175,Barneveld!$C$4:$C$36,0)),"")&lt;&gt;"",IFERROR(INDEX(Barneveld!$E$4:$E$36,MATCH($A175,Barneveld!$C$4:$C$36,0)),""),IF(IFERROR(INDEX(Baarn!$F$4:$F$38,MATCH($A175,Baarn!$C$4:$C$38,0)),"")&lt;&gt;"",IFERROR(INDEX(Baarn!$F$4:$F$38,MATCH($A175,Baarn!$C$4:$C$38,0)),""),IF(IFERROR(INDEX(Scherpenzeel!$F$4:$F$103,MATCH($A175,Scherpenzeel!$C$4:$C$103,0)),"")&lt;&gt;"",IFERROR(INDEX(Scherpenzeel!$F$4:$F$103,MATCH($A175,Scherpenzeel!$C$4:$C$103,0)),""),IF(IFERROR(INDEX('4'!$F$4:$F$103,MATCH($A175,'4'!$C$4:$C$103,0)),"")&lt;&gt;"",IFERROR(INDEX('4'!$F$4:$F$103,MATCH($A175,'4'!$C$4:$C$103,0)),""),IFERROR(INDEX('5'!$F$4:$F$103,MATCH($A175,'5'!$C$4:$C$103,0)),""))))))</f>
        <v/>
      </c>
      <c r="C175" s="13" t="str">
        <f>IF($A175="","",IF(IFERROR(INDEX(Barneveld!$D$4:$D$36,MATCH($A175,Barneveld!$C$4:$C$36,0)),"")&lt;&gt;"",IFERROR(INDEX(Barneveld!$D$4:$D$36,MATCH($A175,Barneveld!$C$4:$C$36,0)),""),IF(IFERROR(INDEX(Baarn!$E$4:$E$38,MATCH($A175,Baarn!$C$4:$C$38,0)),"")&lt;&gt;"",IFERROR(INDEX(Baarn!$E$4:$E$38,MATCH($A175,Baarn!$C$4:$C$38,0)),""),IF(IFERROR(INDEX(Scherpenzeel!$E$4:$E$103,MATCH($A175,Scherpenzeel!$C$4:$C$103,0)),"")&lt;&gt;"",IFERROR(INDEX(Scherpenzeel!$E$4:$E$103,MATCH($A175,Scherpenzeel!$C$4:$C$103,0)),""),IF(IFERROR(INDEX('4'!$E$4:$E$103,MATCH($A175,'4'!$C$4:$C$103,0)),"")&lt;&gt;"",IFERROR(INDEX('4'!$E$4:$E$103,MATCH($A175,'4'!$C$4:$C$103,0)),""),IFERROR(INDEX('5'!$E$4:$E$103,MATCH($A175,'5'!$C$4:$C$103,0)),""))))))</f>
        <v/>
      </c>
      <c r="D175" s="24" t="str">
        <f>IF($A175="","",IFERROR(INDEX(Barneveld!$A$4:$A$36,MATCH($A175,Barneveld!$C$4:$C$36,0)),""))</f>
        <v/>
      </c>
      <c r="E175" s="15">
        <f>IF($A175="",0,IFERROR(INDEX(Barneveld!$H$4:$H$36,MATCH($A175,Barneveld!$C$4:$C$36,0)),0))</f>
        <v>0</v>
      </c>
      <c r="F175" s="24" t="str">
        <f>IF($A175="","",IFERROR(INDEX(Baarn!$A$4:$A$38,MATCH($A175,Baarn!$C$4:$C$38,0)),""))</f>
        <v/>
      </c>
      <c r="G175" s="15">
        <f>IF($A175="",0,IFERROR(INDEX(Baarn!$I$4:$I$38,MATCH($A175,Baarn!$C$4:$C$38,0)),0))</f>
        <v>0</v>
      </c>
      <c r="H175" s="24" t="str">
        <f>IF($A175="","",IFERROR(INDEX(Scherpenzeel!$A$4:$A$103,MATCH($A175,Scherpenzeel!$C$4:$C$103,0)),""))</f>
        <v/>
      </c>
      <c r="I175" s="15">
        <f>IF($A175="",0,IFERROR(INDEX(Scherpenzeel!$I$4:$I$103,MATCH($A175,Scherpenzeel!$C$4:$C$103,0)),0))</f>
        <v>0</v>
      </c>
      <c r="J175" s="24" t="str">
        <f>IF($A175="","",IFERROR(INDEX('4'!$A$4:$A$103,MATCH($A175,'4'!$C$4:$C$103,0)),""))</f>
        <v/>
      </c>
      <c r="K175" s="15">
        <f>IF($A175="",0,IFERROR(INDEX('4'!$I$4:$I$103,MATCH($A175,'4'!$C$4:$C$103,0)),0))</f>
        <v>0</v>
      </c>
      <c r="L175" s="24" t="str">
        <f>IF($A175="","",IFERROR(INDEX('5'!$A$4:$A$103,MATCH($A175,'5'!$C$4:$C$103,0)),""))</f>
        <v/>
      </c>
      <c r="M175" s="15">
        <f>IF($A175="",0,IFERROR(INDEX('5'!$I$4:$I$103,MATCH($A175,'5'!$C$4:$C$103,0)),0))</f>
        <v>0</v>
      </c>
      <c r="N175" s="25" t="str">
        <f t="shared" si="10"/>
        <v/>
      </c>
      <c r="O175" s="26" t="str">
        <f t="shared" si="11"/>
        <v/>
      </c>
      <c r="AA175" t="str">
        <f>IF(ISNUMBER(SEARCH("Junior",'4'!E10)),'4'!C10,"")</f>
        <v/>
      </c>
      <c r="AB175">
        <f>IF(AA175="",0,IF(COUNTIF($AA$1:AA175,AA175)=1,1,0))</f>
        <v>0</v>
      </c>
      <c r="AC175" t="str">
        <f>IF(AB175=1,COUNTIF($AB$1:AB175,1),"")</f>
        <v/>
      </c>
    </row>
    <row r="176" spans="1:29" x14ac:dyDescent="0.25">
      <c r="A176" s="13" t="str">
        <f>IFERROR(INDEX($AA$1:$AA$368,MATCH(173,$AC$1:$AC$368,0)),"")</f>
        <v/>
      </c>
      <c r="B176" s="13" t="str">
        <f>IF($A176="","",IF(IFERROR(INDEX(Barneveld!$E$4:$E$36,MATCH($A176,Barneveld!$C$4:$C$36,0)),"")&lt;&gt;"",IFERROR(INDEX(Barneveld!$E$4:$E$36,MATCH($A176,Barneveld!$C$4:$C$36,0)),""),IF(IFERROR(INDEX(Baarn!$F$4:$F$38,MATCH($A176,Baarn!$C$4:$C$38,0)),"")&lt;&gt;"",IFERROR(INDEX(Baarn!$F$4:$F$38,MATCH($A176,Baarn!$C$4:$C$38,0)),""),IF(IFERROR(INDEX(Scherpenzeel!$F$4:$F$103,MATCH($A176,Scherpenzeel!$C$4:$C$103,0)),"")&lt;&gt;"",IFERROR(INDEX(Scherpenzeel!$F$4:$F$103,MATCH($A176,Scherpenzeel!$C$4:$C$103,0)),""),IF(IFERROR(INDEX('4'!$F$4:$F$103,MATCH($A176,'4'!$C$4:$C$103,0)),"")&lt;&gt;"",IFERROR(INDEX('4'!$F$4:$F$103,MATCH($A176,'4'!$C$4:$C$103,0)),""),IFERROR(INDEX('5'!$F$4:$F$103,MATCH($A176,'5'!$C$4:$C$103,0)),""))))))</f>
        <v/>
      </c>
      <c r="C176" s="13" t="str">
        <f>IF($A176="","",IF(IFERROR(INDEX(Barneveld!$D$4:$D$36,MATCH($A176,Barneveld!$C$4:$C$36,0)),"")&lt;&gt;"",IFERROR(INDEX(Barneveld!$D$4:$D$36,MATCH($A176,Barneveld!$C$4:$C$36,0)),""),IF(IFERROR(INDEX(Baarn!$E$4:$E$38,MATCH($A176,Baarn!$C$4:$C$38,0)),"")&lt;&gt;"",IFERROR(INDEX(Baarn!$E$4:$E$38,MATCH($A176,Baarn!$C$4:$C$38,0)),""),IF(IFERROR(INDEX(Scherpenzeel!$E$4:$E$103,MATCH($A176,Scherpenzeel!$C$4:$C$103,0)),"")&lt;&gt;"",IFERROR(INDEX(Scherpenzeel!$E$4:$E$103,MATCH($A176,Scherpenzeel!$C$4:$C$103,0)),""),IF(IFERROR(INDEX('4'!$E$4:$E$103,MATCH($A176,'4'!$C$4:$C$103,0)),"")&lt;&gt;"",IFERROR(INDEX('4'!$E$4:$E$103,MATCH($A176,'4'!$C$4:$C$103,0)),""),IFERROR(INDEX('5'!$E$4:$E$103,MATCH($A176,'5'!$C$4:$C$103,0)),""))))))</f>
        <v/>
      </c>
      <c r="D176" s="24" t="str">
        <f>IF($A176="","",IFERROR(INDEX(Barneveld!$A$4:$A$36,MATCH($A176,Barneveld!$C$4:$C$36,0)),""))</f>
        <v/>
      </c>
      <c r="E176" s="15">
        <f>IF($A176="",0,IFERROR(INDEX(Barneveld!$H$4:$H$36,MATCH($A176,Barneveld!$C$4:$C$36,0)),0))</f>
        <v>0</v>
      </c>
      <c r="F176" s="24" t="str">
        <f>IF($A176="","",IFERROR(INDEX(Baarn!$A$4:$A$38,MATCH($A176,Baarn!$C$4:$C$38,0)),""))</f>
        <v/>
      </c>
      <c r="G176" s="15">
        <f>IF($A176="",0,IFERROR(INDEX(Baarn!$I$4:$I$38,MATCH($A176,Baarn!$C$4:$C$38,0)),0))</f>
        <v>0</v>
      </c>
      <c r="H176" s="24" t="str">
        <f>IF($A176="","",IFERROR(INDEX(Scherpenzeel!$A$4:$A$103,MATCH($A176,Scherpenzeel!$C$4:$C$103,0)),""))</f>
        <v/>
      </c>
      <c r="I176" s="15">
        <f>IF($A176="",0,IFERROR(INDEX(Scherpenzeel!$I$4:$I$103,MATCH($A176,Scherpenzeel!$C$4:$C$103,0)),0))</f>
        <v>0</v>
      </c>
      <c r="J176" s="24" t="str">
        <f>IF($A176="","",IFERROR(INDEX('4'!$A$4:$A$103,MATCH($A176,'4'!$C$4:$C$103,0)),""))</f>
        <v/>
      </c>
      <c r="K176" s="15">
        <f>IF($A176="",0,IFERROR(INDEX('4'!$I$4:$I$103,MATCH($A176,'4'!$C$4:$C$103,0)),0))</f>
        <v>0</v>
      </c>
      <c r="L176" s="24" t="str">
        <f>IF($A176="","",IFERROR(INDEX('5'!$A$4:$A$103,MATCH($A176,'5'!$C$4:$C$103,0)),""))</f>
        <v/>
      </c>
      <c r="M176" s="15">
        <f>IF($A176="",0,IFERROR(INDEX('5'!$I$4:$I$103,MATCH($A176,'5'!$C$4:$C$103,0)),0))</f>
        <v>0</v>
      </c>
      <c r="N176" s="25" t="str">
        <f t="shared" si="10"/>
        <v/>
      </c>
      <c r="O176" s="26" t="str">
        <f t="shared" si="11"/>
        <v/>
      </c>
      <c r="AA176" t="str">
        <f>IF(ISNUMBER(SEARCH("Junior",'4'!E11)),'4'!C11,"")</f>
        <v/>
      </c>
      <c r="AB176">
        <f>IF(AA176="",0,IF(COUNTIF($AA$1:AA176,AA176)=1,1,0))</f>
        <v>0</v>
      </c>
      <c r="AC176" t="str">
        <f>IF(AB176=1,COUNTIF($AB$1:AB176,1),"")</f>
        <v/>
      </c>
    </row>
    <row r="177" spans="1:29" x14ac:dyDescent="0.25">
      <c r="A177" s="13" t="str">
        <f>IFERROR(INDEX($AA$1:$AA$368,MATCH(174,$AC$1:$AC$368,0)),"")</f>
        <v/>
      </c>
      <c r="B177" s="13" t="str">
        <f>IF($A177="","",IF(IFERROR(INDEX(Barneveld!$E$4:$E$36,MATCH($A177,Barneveld!$C$4:$C$36,0)),"")&lt;&gt;"",IFERROR(INDEX(Barneveld!$E$4:$E$36,MATCH($A177,Barneveld!$C$4:$C$36,0)),""),IF(IFERROR(INDEX(Baarn!$F$4:$F$38,MATCH($A177,Baarn!$C$4:$C$38,0)),"")&lt;&gt;"",IFERROR(INDEX(Baarn!$F$4:$F$38,MATCH($A177,Baarn!$C$4:$C$38,0)),""),IF(IFERROR(INDEX(Scherpenzeel!$F$4:$F$103,MATCH($A177,Scherpenzeel!$C$4:$C$103,0)),"")&lt;&gt;"",IFERROR(INDEX(Scherpenzeel!$F$4:$F$103,MATCH($A177,Scherpenzeel!$C$4:$C$103,0)),""),IF(IFERROR(INDEX('4'!$F$4:$F$103,MATCH($A177,'4'!$C$4:$C$103,0)),"")&lt;&gt;"",IFERROR(INDEX('4'!$F$4:$F$103,MATCH($A177,'4'!$C$4:$C$103,0)),""),IFERROR(INDEX('5'!$F$4:$F$103,MATCH($A177,'5'!$C$4:$C$103,0)),""))))))</f>
        <v/>
      </c>
      <c r="C177" s="13" t="str">
        <f>IF($A177="","",IF(IFERROR(INDEX(Barneveld!$D$4:$D$36,MATCH($A177,Barneveld!$C$4:$C$36,0)),"")&lt;&gt;"",IFERROR(INDEX(Barneveld!$D$4:$D$36,MATCH($A177,Barneveld!$C$4:$C$36,0)),""),IF(IFERROR(INDEX(Baarn!$E$4:$E$38,MATCH($A177,Baarn!$C$4:$C$38,0)),"")&lt;&gt;"",IFERROR(INDEX(Baarn!$E$4:$E$38,MATCH($A177,Baarn!$C$4:$C$38,0)),""),IF(IFERROR(INDEX(Scherpenzeel!$E$4:$E$103,MATCH($A177,Scherpenzeel!$C$4:$C$103,0)),"")&lt;&gt;"",IFERROR(INDEX(Scherpenzeel!$E$4:$E$103,MATCH($A177,Scherpenzeel!$C$4:$C$103,0)),""),IF(IFERROR(INDEX('4'!$E$4:$E$103,MATCH($A177,'4'!$C$4:$C$103,0)),"")&lt;&gt;"",IFERROR(INDEX('4'!$E$4:$E$103,MATCH($A177,'4'!$C$4:$C$103,0)),""),IFERROR(INDEX('5'!$E$4:$E$103,MATCH($A177,'5'!$C$4:$C$103,0)),""))))))</f>
        <v/>
      </c>
      <c r="D177" s="24" t="str">
        <f>IF($A177="","",IFERROR(INDEX(Barneveld!$A$4:$A$36,MATCH($A177,Barneveld!$C$4:$C$36,0)),""))</f>
        <v/>
      </c>
      <c r="E177" s="15">
        <f>IF($A177="",0,IFERROR(INDEX(Barneveld!$H$4:$H$36,MATCH($A177,Barneveld!$C$4:$C$36,0)),0))</f>
        <v>0</v>
      </c>
      <c r="F177" s="24" t="str">
        <f>IF($A177="","",IFERROR(INDEX(Baarn!$A$4:$A$38,MATCH($A177,Baarn!$C$4:$C$38,0)),""))</f>
        <v/>
      </c>
      <c r="G177" s="15">
        <f>IF($A177="",0,IFERROR(INDEX(Baarn!$I$4:$I$38,MATCH($A177,Baarn!$C$4:$C$38,0)),0))</f>
        <v>0</v>
      </c>
      <c r="H177" s="24" t="str">
        <f>IF($A177="","",IFERROR(INDEX(Scherpenzeel!$A$4:$A$103,MATCH($A177,Scherpenzeel!$C$4:$C$103,0)),""))</f>
        <v/>
      </c>
      <c r="I177" s="15">
        <f>IF($A177="",0,IFERROR(INDEX(Scherpenzeel!$I$4:$I$103,MATCH($A177,Scherpenzeel!$C$4:$C$103,0)),0))</f>
        <v>0</v>
      </c>
      <c r="J177" s="24" t="str">
        <f>IF($A177="","",IFERROR(INDEX('4'!$A$4:$A$103,MATCH($A177,'4'!$C$4:$C$103,0)),""))</f>
        <v/>
      </c>
      <c r="K177" s="15">
        <f>IF($A177="",0,IFERROR(INDEX('4'!$I$4:$I$103,MATCH($A177,'4'!$C$4:$C$103,0)),0))</f>
        <v>0</v>
      </c>
      <c r="L177" s="24" t="str">
        <f>IF($A177="","",IFERROR(INDEX('5'!$A$4:$A$103,MATCH($A177,'5'!$C$4:$C$103,0)),""))</f>
        <v/>
      </c>
      <c r="M177" s="15">
        <f>IF($A177="",0,IFERROR(INDEX('5'!$I$4:$I$103,MATCH($A177,'5'!$C$4:$C$103,0)),0))</f>
        <v>0</v>
      </c>
      <c r="N177" s="25" t="str">
        <f t="shared" si="10"/>
        <v/>
      </c>
      <c r="O177" s="26" t="str">
        <f t="shared" si="11"/>
        <v/>
      </c>
      <c r="AA177" t="str">
        <f>IF(ISNUMBER(SEARCH("Junior",'4'!E12)),'4'!C12,"")</f>
        <v/>
      </c>
      <c r="AB177">
        <f>IF(AA177="",0,IF(COUNTIF($AA$1:AA177,AA177)=1,1,0))</f>
        <v>0</v>
      </c>
      <c r="AC177" t="str">
        <f>IF(AB177=1,COUNTIF($AB$1:AB177,1),"")</f>
        <v/>
      </c>
    </row>
    <row r="178" spans="1:29" x14ac:dyDescent="0.25">
      <c r="A178" s="13" t="str">
        <f>IFERROR(INDEX($AA$1:$AA$368,MATCH(175,$AC$1:$AC$368,0)),"")</f>
        <v/>
      </c>
      <c r="B178" s="13" t="str">
        <f>IF($A178="","",IF(IFERROR(INDEX(Barneveld!$E$4:$E$36,MATCH($A178,Barneveld!$C$4:$C$36,0)),"")&lt;&gt;"",IFERROR(INDEX(Barneveld!$E$4:$E$36,MATCH($A178,Barneveld!$C$4:$C$36,0)),""),IF(IFERROR(INDEX(Baarn!$F$4:$F$38,MATCH($A178,Baarn!$C$4:$C$38,0)),"")&lt;&gt;"",IFERROR(INDEX(Baarn!$F$4:$F$38,MATCH($A178,Baarn!$C$4:$C$38,0)),""),IF(IFERROR(INDEX(Scherpenzeel!$F$4:$F$103,MATCH($A178,Scherpenzeel!$C$4:$C$103,0)),"")&lt;&gt;"",IFERROR(INDEX(Scherpenzeel!$F$4:$F$103,MATCH($A178,Scherpenzeel!$C$4:$C$103,0)),""),IF(IFERROR(INDEX('4'!$F$4:$F$103,MATCH($A178,'4'!$C$4:$C$103,0)),"")&lt;&gt;"",IFERROR(INDEX('4'!$F$4:$F$103,MATCH($A178,'4'!$C$4:$C$103,0)),""),IFERROR(INDEX('5'!$F$4:$F$103,MATCH($A178,'5'!$C$4:$C$103,0)),""))))))</f>
        <v/>
      </c>
      <c r="C178" s="13" t="str">
        <f>IF($A178="","",IF(IFERROR(INDEX(Barneveld!$D$4:$D$36,MATCH($A178,Barneveld!$C$4:$C$36,0)),"")&lt;&gt;"",IFERROR(INDEX(Barneveld!$D$4:$D$36,MATCH($A178,Barneveld!$C$4:$C$36,0)),""),IF(IFERROR(INDEX(Baarn!$E$4:$E$38,MATCH($A178,Baarn!$C$4:$C$38,0)),"")&lt;&gt;"",IFERROR(INDEX(Baarn!$E$4:$E$38,MATCH($A178,Baarn!$C$4:$C$38,0)),""),IF(IFERROR(INDEX(Scherpenzeel!$E$4:$E$103,MATCH($A178,Scherpenzeel!$C$4:$C$103,0)),"")&lt;&gt;"",IFERROR(INDEX(Scherpenzeel!$E$4:$E$103,MATCH($A178,Scherpenzeel!$C$4:$C$103,0)),""),IF(IFERROR(INDEX('4'!$E$4:$E$103,MATCH($A178,'4'!$C$4:$C$103,0)),"")&lt;&gt;"",IFERROR(INDEX('4'!$E$4:$E$103,MATCH($A178,'4'!$C$4:$C$103,0)),""),IFERROR(INDEX('5'!$E$4:$E$103,MATCH($A178,'5'!$C$4:$C$103,0)),""))))))</f>
        <v/>
      </c>
      <c r="D178" s="24" t="str">
        <f>IF($A178="","",IFERROR(INDEX(Barneveld!$A$4:$A$36,MATCH($A178,Barneveld!$C$4:$C$36,0)),""))</f>
        <v/>
      </c>
      <c r="E178" s="15">
        <f>IF($A178="",0,IFERROR(INDEX(Barneveld!$H$4:$H$36,MATCH($A178,Barneveld!$C$4:$C$36,0)),0))</f>
        <v>0</v>
      </c>
      <c r="F178" s="24" t="str">
        <f>IF($A178="","",IFERROR(INDEX(Baarn!$A$4:$A$38,MATCH($A178,Baarn!$C$4:$C$38,0)),""))</f>
        <v/>
      </c>
      <c r="G178" s="15">
        <f>IF($A178="",0,IFERROR(INDEX(Baarn!$I$4:$I$38,MATCH($A178,Baarn!$C$4:$C$38,0)),0))</f>
        <v>0</v>
      </c>
      <c r="H178" s="24" t="str">
        <f>IF($A178="","",IFERROR(INDEX(Scherpenzeel!$A$4:$A$103,MATCH($A178,Scherpenzeel!$C$4:$C$103,0)),""))</f>
        <v/>
      </c>
      <c r="I178" s="15">
        <f>IF($A178="",0,IFERROR(INDEX(Scherpenzeel!$I$4:$I$103,MATCH($A178,Scherpenzeel!$C$4:$C$103,0)),0))</f>
        <v>0</v>
      </c>
      <c r="J178" s="24" t="str">
        <f>IF($A178="","",IFERROR(INDEX('4'!$A$4:$A$103,MATCH($A178,'4'!$C$4:$C$103,0)),""))</f>
        <v/>
      </c>
      <c r="K178" s="15">
        <f>IF($A178="",0,IFERROR(INDEX('4'!$I$4:$I$103,MATCH($A178,'4'!$C$4:$C$103,0)),0))</f>
        <v>0</v>
      </c>
      <c r="L178" s="24" t="str">
        <f>IF($A178="","",IFERROR(INDEX('5'!$A$4:$A$103,MATCH($A178,'5'!$C$4:$C$103,0)),""))</f>
        <v/>
      </c>
      <c r="M178" s="15">
        <f>IF($A178="",0,IFERROR(INDEX('5'!$I$4:$I$103,MATCH($A178,'5'!$C$4:$C$103,0)),0))</f>
        <v>0</v>
      </c>
      <c r="N178" s="25" t="str">
        <f t="shared" si="10"/>
        <v/>
      </c>
      <c r="O178" s="26" t="str">
        <f t="shared" si="11"/>
        <v/>
      </c>
      <c r="AA178" t="str">
        <f>IF(ISNUMBER(SEARCH("Junior",'4'!E13)),'4'!C13,"")</f>
        <v/>
      </c>
      <c r="AB178">
        <f>IF(AA178="",0,IF(COUNTIF($AA$1:AA178,AA178)=1,1,0))</f>
        <v>0</v>
      </c>
      <c r="AC178" t="str">
        <f>IF(AB178=1,COUNTIF($AB$1:AB178,1),"")</f>
        <v/>
      </c>
    </row>
    <row r="179" spans="1:29" x14ac:dyDescent="0.25">
      <c r="A179" s="13" t="str">
        <f>IFERROR(INDEX($AA$1:$AA$368,MATCH(176,$AC$1:$AC$368,0)),"")</f>
        <v/>
      </c>
      <c r="B179" s="13" t="str">
        <f>IF($A179="","",IF(IFERROR(INDEX(Barneveld!$E$4:$E$36,MATCH($A179,Barneveld!$C$4:$C$36,0)),"")&lt;&gt;"",IFERROR(INDEX(Barneveld!$E$4:$E$36,MATCH($A179,Barneveld!$C$4:$C$36,0)),""),IF(IFERROR(INDEX(Baarn!$F$4:$F$38,MATCH($A179,Baarn!$C$4:$C$38,0)),"")&lt;&gt;"",IFERROR(INDEX(Baarn!$F$4:$F$38,MATCH($A179,Baarn!$C$4:$C$38,0)),""),IF(IFERROR(INDEX(Scherpenzeel!$F$4:$F$103,MATCH($A179,Scherpenzeel!$C$4:$C$103,0)),"")&lt;&gt;"",IFERROR(INDEX(Scherpenzeel!$F$4:$F$103,MATCH($A179,Scherpenzeel!$C$4:$C$103,0)),""),IF(IFERROR(INDEX('4'!$F$4:$F$103,MATCH($A179,'4'!$C$4:$C$103,0)),"")&lt;&gt;"",IFERROR(INDEX('4'!$F$4:$F$103,MATCH($A179,'4'!$C$4:$C$103,0)),""),IFERROR(INDEX('5'!$F$4:$F$103,MATCH($A179,'5'!$C$4:$C$103,0)),""))))))</f>
        <v/>
      </c>
      <c r="C179" s="13" t="str">
        <f>IF($A179="","",IF(IFERROR(INDEX(Barneveld!$D$4:$D$36,MATCH($A179,Barneveld!$C$4:$C$36,0)),"")&lt;&gt;"",IFERROR(INDEX(Barneveld!$D$4:$D$36,MATCH($A179,Barneveld!$C$4:$C$36,0)),""),IF(IFERROR(INDEX(Baarn!$E$4:$E$38,MATCH($A179,Baarn!$C$4:$C$38,0)),"")&lt;&gt;"",IFERROR(INDEX(Baarn!$E$4:$E$38,MATCH($A179,Baarn!$C$4:$C$38,0)),""),IF(IFERROR(INDEX(Scherpenzeel!$E$4:$E$103,MATCH($A179,Scherpenzeel!$C$4:$C$103,0)),"")&lt;&gt;"",IFERROR(INDEX(Scherpenzeel!$E$4:$E$103,MATCH($A179,Scherpenzeel!$C$4:$C$103,0)),""),IF(IFERROR(INDEX('4'!$E$4:$E$103,MATCH($A179,'4'!$C$4:$C$103,0)),"")&lt;&gt;"",IFERROR(INDEX('4'!$E$4:$E$103,MATCH($A179,'4'!$C$4:$C$103,0)),""),IFERROR(INDEX('5'!$E$4:$E$103,MATCH($A179,'5'!$C$4:$C$103,0)),""))))))</f>
        <v/>
      </c>
      <c r="D179" s="24" t="str">
        <f>IF($A179="","",IFERROR(INDEX(Barneveld!$A$4:$A$36,MATCH($A179,Barneveld!$C$4:$C$36,0)),""))</f>
        <v/>
      </c>
      <c r="E179" s="15">
        <f>IF($A179="",0,IFERROR(INDEX(Barneveld!$H$4:$H$36,MATCH($A179,Barneveld!$C$4:$C$36,0)),0))</f>
        <v>0</v>
      </c>
      <c r="F179" s="24" t="str">
        <f>IF($A179="","",IFERROR(INDEX(Baarn!$A$4:$A$38,MATCH($A179,Baarn!$C$4:$C$38,0)),""))</f>
        <v/>
      </c>
      <c r="G179" s="15">
        <f>IF($A179="",0,IFERROR(INDEX(Baarn!$I$4:$I$38,MATCH($A179,Baarn!$C$4:$C$38,0)),0))</f>
        <v>0</v>
      </c>
      <c r="H179" s="24" t="str">
        <f>IF($A179="","",IFERROR(INDEX(Scherpenzeel!$A$4:$A$103,MATCH($A179,Scherpenzeel!$C$4:$C$103,0)),""))</f>
        <v/>
      </c>
      <c r="I179" s="15">
        <f>IF($A179="",0,IFERROR(INDEX(Scherpenzeel!$I$4:$I$103,MATCH($A179,Scherpenzeel!$C$4:$C$103,0)),0))</f>
        <v>0</v>
      </c>
      <c r="J179" s="24" t="str">
        <f>IF($A179="","",IFERROR(INDEX('4'!$A$4:$A$103,MATCH($A179,'4'!$C$4:$C$103,0)),""))</f>
        <v/>
      </c>
      <c r="K179" s="15">
        <f>IF($A179="",0,IFERROR(INDEX('4'!$I$4:$I$103,MATCH($A179,'4'!$C$4:$C$103,0)),0))</f>
        <v>0</v>
      </c>
      <c r="L179" s="24" t="str">
        <f>IF($A179="","",IFERROR(INDEX('5'!$A$4:$A$103,MATCH($A179,'5'!$C$4:$C$103,0)),""))</f>
        <v/>
      </c>
      <c r="M179" s="15">
        <f>IF($A179="",0,IFERROR(INDEX('5'!$I$4:$I$103,MATCH($A179,'5'!$C$4:$C$103,0)),0))</f>
        <v>0</v>
      </c>
      <c r="N179" s="25" t="str">
        <f t="shared" si="10"/>
        <v/>
      </c>
      <c r="O179" s="26" t="str">
        <f t="shared" si="11"/>
        <v/>
      </c>
      <c r="AA179" t="str">
        <f>IF(ISNUMBER(SEARCH("Junior",'4'!E14)),'4'!C14,"")</f>
        <v/>
      </c>
      <c r="AB179">
        <f>IF(AA179="",0,IF(COUNTIF($AA$1:AA179,AA179)=1,1,0))</f>
        <v>0</v>
      </c>
      <c r="AC179" t="str">
        <f>IF(AB179=1,COUNTIF($AB$1:AB179,1),"")</f>
        <v/>
      </c>
    </row>
    <row r="180" spans="1:29" x14ac:dyDescent="0.25">
      <c r="A180" s="13" t="str">
        <f>IFERROR(INDEX($AA$1:$AA$368,MATCH(177,$AC$1:$AC$368,0)),"")</f>
        <v/>
      </c>
      <c r="B180" s="13" t="str">
        <f>IF($A180="","",IF(IFERROR(INDEX(Barneveld!$E$4:$E$36,MATCH($A180,Barneveld!$C$4:$C$36,0)),"")&lt;&gt;"",IFERROR(INDEX(Barneveld!$E$4:$E$36,MATCH($A180,Barneveld!$C$4:$C$36,0)),""),IF(IFERROR(INDEX(Baarn!$F$4:$F$38,MATCH($A180,Baarn!$C$4:$C$38,0)),"")&lt;&gt;"",IFERROR(INDEX(Baarn!$F$4:$F$38,MATCH($A180,Baarn!$C$4:$C$38,0)),""),IF(IFERROR(INDEX(Scherpenzeel!$F$4:$F$103,MATCH($A180,Scherpenzeel!$C$4:$C$103,0)),"")&lt;&gt;"",IFERROR(INDEX(Scherpenzeel!$F$4:$F$103,MATCH($A180,Scherpenzeel!$C$4:$C$103,0)),""),IF(IFERROR(INDEX('4'!$F$4:$F$103,MATCH($A180,'4'!$C$4:$C$103,0)),"")&lt;&gt;"",IFERROR(INDEX('4'!$F$4:$F$103,MATCH($A180,'4'!$C$4:$C$103,0)),""),IFERROR(INDEX('5'!$F$4:$F$103,MATCH($A180,'5'!$C$4:$C$103,0)),""))))))</f>
        <v/>
      </c>
      <c r="C180" s="13" t="str">
        <f>IF($A180="","",IF(IFERROR(INDEX(Barneveld!$D$4:$D$36,MATCH($A180,Barneveld!$C$4:$C$36,0)),"")&lt;&gt;"",IFERROR(INDEX(Barneveld!$D$4:$D$36,MATCH($A180,Barneveld!$C$4:$C$36,0)),""),IF(IFERROR(INDEX(Baarn!$E$4:$E$38,MATCH($A180,Baarn!$C$4:$C$38,0)),"")&lt;&gt;"",IFERROR(INDEX(Baarn!$E$4:$E$38,MATCH($A180,Baarn!$C$4:$C$38,0)),""),IF(IFERROR(INDEX(Scherpenzeel!$E$4:$E$103,MATCH($A180,Scherpenzeel!$C$4:$C$103,0)),"")&lt;&gt;"",IFERROR(INDEX(Scherpenzeel!$E$4:$E$103,MATCH($A180,Scherpenzeel!$C$4:$C$103,0)),""),IF(IFERROR(INDEX('4'!$E$4:$E$103,MATCH($A180,'4'!$C$4:$C$103,0)),"")&lt;&gt;"",IFERROR(INDEX('4'!$E$4:$E$103,MATCH($A180,'4'!$C$4:$C$103,0)),""),IFERROR(INDEX('5'!$E$4:$E$103,MATCH($A180,'5'!$C$4:$C$103,0)),""))))))</f>
        <v/>
      </c>
      <c r="D180" s="24" t="str">
        <f>IF($A180="","",IFERROR(INDEX(Barneveld!$A$4:$A$36,MATCH($A180,Barneveld!$C$4:$C$36,0)),""))</f>
        <v/>
      </c>
      <c r="E180" s="15">
        <f>IF($A180="",0,IFERROR(INDEX(Barneveld!$H$4:$H$36,MATCH($A180,Barneveld!$C$4:$C$36,0)),0))</f>
        <v>0</v>
      </c>
      <c r="F180" s="24" t="str">
        <f>IF($A180="","",IFERROR(INDEX(Baarn!$A$4:$A$38,MATCH($A180,Baarn!$C$4:$C$38,0)),""))</f>
        <v/>
      </c>
      <c r="G180" s="15">
        <f>IF($A180="",0,IFERROR(INDEX(Baarn!$I$4:$I$38,MATCH($A180,Baarn!$C$4:$C$38,0)),0))</f>
        <v>0</v>
      </c>
      <c r="H180" s="24" t="str">
        <f>IF($A180="","",IFERROR(INDEX(Scherpenzeel!$A$4:$A$103,MATCH($A180,Scherpenzeel!$C$4:$C$103,0)),""))</f>
        <v/>
      </c>
      <c r="I180" s="15">
        <f>IF($A180="",0,IFERROR(INDEX(Scherpenzeel!$I$4:$I$103,MATCH($A180,Scherpenzeel!$C$4:$C$103,0)),0))</f>
        <v>0</v>
      </c>
      <c r="J180" s="24" t="str">
        <f>IF($A180="","",IFERROR(INDEX('4'!$A$4:$A$103,MATCH($A180,'4'!$C$4:$C$103,0)),""))</f>
        <v/>
      </c>
      <c r="K180" s="15">
        <f>IF($A180="",0,IFERROR(INDEX('4'!$I$4:$I$103,MATCH($A180,'4'!$C$4:$C$103,0)),0))</f>
        <v>0</v>
      </c>
      <c r="L180" s="24" t="str">
        <f>IF($A180="","",IFERROR(INDEX('5'!$A$4:$A$103,MATCH($A180,'5'!$C$4:$C$103,0)),""))</f>
        <v/>
      </c>
      <c r="M180" s="15">
        <f>IF($A180="",0,IFERROR(INDEX('5'!$I$4:$I$103,MATCH($A180,'5'!$C$4:$C$103,0)),0))</f>
        <v>0</v>
      </c>
      <c r="N180" s="25" t="str">
        <f t="shared" si="10"/>
        <v/>
      </c>
      <c r="O180" s="26" t="str">
        <f t="shared" si="11"/>
        <v/>
      </c>
      <c r="AA180" t="str">
        <f>IF(ISNUMBER(SEARCH("Junior",'4'!E15)),'4'!C15,"")</f>
        <v/>
      </c>
      <c r="AB180">
        <f>IF(AA180="",0,IF(COUNTIF($AA$1:AA180,AA180)=1,1,0))</f>
        <v>0</v>
      </c>
      <c r="AC180" t="str">
        <f>IF(AB180=1,COUNTIF($AB$1:AB180,1),"")</f>
        <v/>
      </c>
    </row>
    <row r="181" spans="1:29" x14ac:dyDescent="0.25">
      <c r="A181" s="13" t="str">
        <f>IFERROR(INDEX($AA$1:$AA$368,MATCH(178,$AC$1:$AC$368,0)),"")</f>
        <v/>
      </c>
      <c r="B181" s="13" t="str">
        <f>IF($A181="","",IF(IFERROR(INDEX(Barneveld!$E$4:$E$36,MATCH($A181,Barneveld!$C$4:$C$36,0)),"")&lt;&gt;"",IFERROR(INDEX(Barneveld!$E$4:$E$36,MATCH($A181,Barneveld!$C$4:$C$36,0)),""),IF(IFERROR(INDEX(Baarn!$F$4:$F$38,MATCH($A181,Baarn!$C$4:$C$38,0)),"")&lt;&gt;"",IFERROR(INDEX(Baarn!$F$4:$F$38,MATCH($A181,Baarn!$C$4:$C$38,0)),""),IF(IFERROR(INDEX(Scherpenzeel!$F$4:$F$103,MATCH($A181,Scherpenzeel!$C$4:$C$103,0)),"")&lt;&gt;"",IFERROR(INDEX(Scherpenzeel!$F$4:$F$103,MATCH($A181,Scherpenzeel!$C$4:$C$103,0)),""),IF(IFERROR(INDEX('4'!$F$4:$F$103,MATCH($A181,'4'!$C$4:$C$103,0)),"")&lt;&gt;"",IFERROR(INDEX('4'!$F$4:$F$103,MATCH($A181,'4'!$C$4:$C$103,0)),""),IFERROR(INDEX('5'!$F$4:$F$103,MATCH($A181,'5'!$C$4:$C$103,0)),""))))))</f>
        <v/>
      </c>
      <c r="C181" s="13" t="str">
        <f>IF($A181="","",IF(IFERROR(INDEX(Barneveld!$D$4:$D$36,MATCH($A181,Barneveld!$C$4:$C$36,0)),"")&lt;&gt;"",IFERROR(INDEX(Barneveld!$D$4:$D$36,MATCH($A181,Barneveld!$C$4:$C$36,0)),""),IF(IFERROR(INDEX(Baarn!$E$4:$E$38,MATCH($A181,Baarn!$C$4:$C$38,0)),"")&lt;&gt;"",IFERROR(INDEX(Baarn!$E$4:$E$38,MATCH($A181,Baarn!$C$4:$C$38,0)),""),IF(IFERROR(INDEX(Scherpenzeel!$E$4:$E$103,MATCH($A181,Scherpenzeel!$C$4:$C$103,0)),"")&lt;&gt;"",IFERROR(INDEX(Scherpenzeel!$E$4:$E$103,MATCH($A181,Scherpenzeel!$C$4:$C$103,0)),""),IF(IFERROR(INDEX('4'!$E$4:$E$103,MATCH($A181,'4'!$C$4:$C$103,0)),"")&lt;&gt;"",IFERROR(INDEX('4'!$E$4:$E$103,MATCH($A181,'4'!$C$4:$C$103,0)),""),IFERROR(INDEX('5'!$E$4:$E$103,MATCH($A181,'5'!$C$4:$C$103,0)),""))))))</f>
        <v/>
      </c>
      <c r="D181" s="24" t="str">
        <f>IF($A181="","",IFERROR(INDEX(Barneveld!$A$4:$A$36,MATCH($A181,Barneveld!$C$4:$C$36,0)),""))</f>
        <v/>
      </c>
      <c r="E181" s="15">
        <f>IF($A181="",0,IFERROR(INDEX(Barneveld!$H$4:$H$36,MATCH($A181,Barneveld!$C$4:$C$36,0)),0))</f>
        <v>0</v>
      </c>
      <c r="F181" s="24" t="str">
        <f>IF($A181="","",IFERROR(INDEX(Baarn!$A$4:$A$38,MATCH($A181,Baarn!$C$4:$C$38,0)),""))</f>
        <v/>
      </c>
      <c r="G181" s="15">
        <f>IF($A181="",0,IFERROR(INDEX(Baarn!$I$4:$I$38,MATCH($A181,Baarn!$C$4:$C$38,0)),0))</f>
        <v>0</v>
      </c>
      <c r="H181" s="24" t="str">
        <f>IF($A181="","",IFERROR(INDEX(Scherpenzeel!$A$4:$A$103,MATCH($A181,Scherpenzeel!$C$4:$C$103,0)),""))</f>
        <v/>
      </c>
      <c r="I181" s="15">
        <f>IF($A181="",0,IFERROR(INDEX(Scherpenzeel!$I$4:$I$103,MATCH($A181,Scherpenzeel!$C$4:$C$103,0)),0))</f>
        <v>0</v>
      </c>
      <c r="J181" s="24" t="str">
        <f>IF($A181="","",IFERROR(INDEX('4'!$A$4:$A$103,MATCH($A181,'4'!$C$4:$C$103,0)),""))</f>
        <v/>
      </c>
      <c r="K181" s="15">
        <f>IF($A181="",0,IFERROR(INDEX('4'!$I$4:$I$103,MATCH($A181,'4'!$C$4:$C$103,0)),0))</f>
        <v>0</v>
      </c>
      <c r="L181" s="24" t="str">
        <f>IF($A181="","",IFERROR(INDEX('5'!$A$4:$A$103,MATCH($A181,'5'!$C$4:$C$103,0)),""))</f>
        <v/>
      </c>
      <c r="M181" s="15">
        <f>IF($A181="",0,IFERROR(INDEX('5'!$I$4:$I$103,MATCH($A181,'5'!$C$4:$C$103,0)),0))</f>
        <v>0</v>
      </c>
      <c r="N181" s="25" t="str">
        <f t="shared" si="10"/>
        <v/>
      </c>
      <c r="O181" s="26" t="str">
        <f t="shared" si="11"/>
        <v/>
      </c>
      <c r="AA181" t="str">
        <f>IF(ISNUMBER(SEARCH("Junior",'4'!E16)),'4'!C16,"")</f>
        <v/>
      </c>
      <c r="AB181">
        <f>IF(AA181="",0,IF(COUNTIF($AA$1:AA181,AA181)=1,1,0))</f>
        <v>0</v>
      </c>
      <c r="AC181" t="str">
        <f>IF(AB181=1,COUNTIF($AB$1:AB181,1),"")</f>
        <v/>
      </c>
    </row>
    <row r="182" spans="1:29" x14ac:dyDescent="0.25">
      <c r="A182" s="13" t="str">
        <f>IFERROR(INDEX($AA$1:$AA$368,MATCH(179,$AC$1:$AC$368,0)),"")</f>
        <v/>
      </c>
      <c r="B182" s="13" t="str">
        <f>IF($A182="","",IF(IFERROR(INDEX(Barneveld!$E$4:$E$36,MATCH($A182,Barneveld!$C$4:$C$36,0)),"")&lt;&gt;"",IFERROR(INDEX(Barneveld!$E$4:$E$36,MATCH($A182,Barneveld!$C$4:$C$36,0)),""),IF(IFERROR(INDEX(Baarn!$F$4:$F$38,MATCH($A182,Baarn!$C$4:$C$38,0)),"")&lt;&gt;"",IFERROR(INDEX(Baarn!$F$4:$F$38,MATCH($A182,Baarn!$C$4:$C$38,0)),""),IF(IFERROR(INDEX(Scherpenzeel!$F$4:$F$103,MATCH($A182,Scherpenzeel!$C$4:$C$103,0)),"")&lt;&gt;"",IFERROR(INDEX(Scherpenzeel!$F$4:$F$103,MATCH($A182,Scherpenzeel!$C$4:$C$103,0)),""),IF(IFERROR(INDEX('4'!$F$4:$F$103,MATCH($A182,'4'!$C$4:$C$103,0)),"")&lt;&gt;"",IFERROR(INDEX('4'!$F$4:$F$103,MATCH($A182,'4'!$C$4:$C$103,0)),""),IFERROR(INDEX('5'!$F$4:$F$103,MATCH($A182,'5'!$C$4:$C$103,0)),""))))))</f>
        <v/>
      </c>
      <c r="C182" s="13" t="str">
        <f>IF($A182="","",IF(IFERROR(INDEX(Barneveld!$D$4:$D$36,MATCH($A182,Barneveld!$C$4:$C$36,0)),"")&lt;&gt;"",IFERROR(INDEX(Barneveld!$D$4:$D$36,MATCH($A182,Barneveld!$C$4:$C$36,0)),""),IF(IFERROR(INDEX(Baarn!$E$4:$E$38,MATCH($A182,Baarn!$C$4:$C$38,0)),"")&lt;&gt;"",IFERROR(INDEX(Baarn!$E$4:$E$38,MATCH($A182,Baarn!$C$4:$C$38,0)),""),IF(IFERROR(INDEX(Scherpenzeel!$E$4:$E$103,MATCH($A182,Scherpenzeel!$C$4:$C$103,0)),"")&lt;&gt;"",IFERROR(INDEX(Scherpenzeel!$E$4:$E$103,MATCH($A182,Scherpenzeel!$C$4:$C$103,0)),""),IF(IFERROR(INDEX('4'!$E$4:$E$103,MATCH($A182,'4'!$C$4:$C$103,0)),"")&lt;&gt;"",IFERROR(INDEX('4'!$E$4:$E$103,MATCH($A182,'4'!$C$4:$C$103,0)),""),IFERROR(INDEX('5'!$E$4:$E$103,MATCH($A182,'5'!$C$4:$C$103,0)),""))))))</f>
        <v/>
      </c>
      <c r="D182" s="24" t="str">
        <f>IF($A182="","",IFERROR(INDEX(Barneveld!$A$4:$A$36,MATCH($A182,Barneveld!$C$4:$C$36,0)),""))</f>
        <v/>
      </c>
      <c r="E182" s="15">
        <f>IF($A182="",0,IFERROR(INDEX(Barneveld!$H$4:$H$36,MATCH($A182,Barneveld!$C$4:$C$36,0)),0))</f>
        <v>0</v>
      </c>
      <c r="F182" s="24" t="str">
        <f>IF($A182="","",IFERROR(INDEX(Baarn!$A$4:$A$38,MATCH($A182,Baarn!$C$4:$C$38,0)),""))</f>
        <v/>
      </c>
      <c r="G182" s="15">
        <f>IF($A182="",0,IFERROR(INDEX(Baarn!$I$4:$I$38,MATCH($A182,Baarn!$C$4:$C$38,0)),0))</f>
        <v>0</v>
      </c>
      <c r="H182" s="24" t="str">
        <f>IF($A182="","",IFERROR(INDEX(Scherpenzeel!$A$4:$A$103,MATCH($A182,Scherpenzeel!$C$4:$C$103,0)),""))</f>
        <v/>
      </c>
      <c r="I182" s="15">
        <f>IF($A182="",0,IFERROR(INDEX(Scherpenzeel!$I$4:$I$103,MATCH($A182,Scherpenzeel!$C$4:$C$103,0)),0))</f>
        <v>0</v>
      </c>
      <c r="J182" s="24" t="str">
        <f>IF($A182="","",IFERROR(INDEX('4'!$A$4:$A$103,MATCH($A182,'4'!$C$4:$C$103,0)),""))</f>
        <v/>
      </c>
      <c r="K182" s="15">
        <f>IF($A182="",0,IFERROR(INDEX('4'!$I$4:$I$103,MATCH($A182,'4'!$C$4:$C$103,0)),0))</f>
        <v>0</v>
      </c>
      <c r="L182" s="24" t="str">
        <f>IF($A182="","",IFERROR(INDEX('5'!$A$4:$A$103,MATCH($A182,'5'!$C$4:$C$103,0)),""))</f>
        <v/>
      </c>
      <c r="M182" s="15">
        <f>IF($A182="",0,IFERROR(INDEX('5'!$I$4:$I$103,MATCH($A182,'5'!$C$4:$C$103,0)),0))</f>
        <v>0</v>
      </c>
      <c r="N182" s="25" t="str">
        <f t="shared" si="10"/>
        <v/>
      </c>
      <c r="O182" s="26" t="str">
        <f t="shared" si="11"/>
        <v/>
      </c>
      <c r="AA182" t="str">
        <f>IF(ISNUMBER(SEARCH("Junior",'4'!E17)),'4'!C17,"")</f>
        <v/>
      </c>
      <c r="AB182">
        <f>IF(AA182="",0,IF(COUNTIF($AA$1:AA182,AA182)=1,1,0))</f>
        <v>0</v>
      </c>
      <c r="AC182" t="str">
        <f>IF(AB182=1,COUNTIF($AB$1:AB182,1),"")</f>
        <v/>
      </c>
    </row>
    <row r="183" spans="1:29" x14ac:dyDescent="0.25">
      <c r="A183" s="13" t="str">
        <f>IFERROR(INDEX($AA$1:$AA$368,MATCH(180,$AC$1:$AC$368,0)),"")</f>
        <v/>
      </c>
      <c r="B183" s="13" t="str">
        <f>IF($A183="","",IF(IFERROR(INDEX(Barneveld!$E$4:$E$36,MATCH($A183,Barneveld!$C$4:$C$36,0)),"")&lt;&gt;"",IFERROR(INDEX(Barneveld!$E$4:$E$36,MATCH($A183,Barneveld!$C$4:$C$36,0)),""),IF(IFERROR(INDEX(Baarn!$F$4:$F$38,MATCH($A183,Baarn!$C$4:$C$38,0)),"")&lt;&gt;"",IFERROR(INDEX(Baarn!$F$4:$F$38,MATCH($A183,Baarn!$C$4:$C$38,0)),""),IF(IFERROR(INDEX(Scherpenzeel!$F$4:$F$103,MATCH($A183,Scherpenzeel!$C$4:$C$103,0)),"")&lt;&gt;"",IFERROR(INDEX(Scherpenzeel!$F$4:$F$103,MATCH($A183,Scherpenzeel!$C$4:$C$103,0)),""),IF(IFERROR(INDEX('4'!$F$4:$F$103,MATCH($A183,'4'!$C$4:$C$103,0)),"")&lt;&gt;"",IFERROR(INDEX('4'!$F$4:$F$103,MATCH($A183,'4'!$C$4:$C$103,0)),""),IFERROR(INDEX('5'!$F$4:$F$103,MATCH($A183,'5'!$C$4:$C$103,0)),""))))))</f>
        <v/>
      </c>
      <c r="C183" s="13" t="str">
        <f>IF($A183="","",IF(IFERROR(INDEX(Barneveld!$D$4:$D$36,MATCH($A183,Barneveld!$C$4:$C$36,0)),"")&lt;&gt;"",IFERROR(INDEX(Barneveld!$D$4:$D$36,MATCH($A183,Barneveld!$C$4:$C$36,0)),""),IF(IFERROR(INDEX(Baarn!$E$4:$E$38,MATCH($A183,Baarn!$C$4:$C$38,0)),"")&lt;&gt;"",IFERROR(INDEX(Baarn!$E$4:$E$38,MATCH($A183,Baarn!$C$4:$C$38,0)),""),IF(IFERROR(INDEX(Scherpenzeel!$E$4:$E$103,MATCH($A183,Scherpenzeel!$C$4:$C$103,0)),"")&lt;&gt;"",IFERROR(INDEX(Scherpenzeel!$E$4:$E$103,MATCH($A183,Scherpenzeel!$C$4:$C$103,0)),""),IF(IFERROR(INDEX('4'!$E$4:$E$103,MATCH($A183,'4'!$C$4:$C$103,0)),"")&lt;&gt;"",IFERROR(INDEX('4'!$E$4:$E$103,MATCH($A183,'4'!$C$4:$C$103,0)),""),IFERROR(INDEX('5'!$E$4:$E$103,MATCH($A183,'5'!$C$4:$C$103,0)),""))))))</f>
        <v/>
      </c>
      <c r="D183" s="24" t="str">
        <f>IF($A183="","",IFERROR(INDEX(Barneveld!$A$4:$A$36,MATCH($A183,Barneveld!$C$4:$C$36,0)),""))</f>
        <v/>
      </c>
      <c r="E183" s="15">
        <f>IF($A183="",0,IFERROR(INDEX(Barneveld!$H$4:$H$36,MATCH($A183,Barneveld!$C$4:$C$36,0)),0))</f>
        <v>0</v>
      </c>
      <c r="F183" s="24" t="str">
        <f>IF($A183="","",IFERROR(INDEX(Baarn!$A$4:$A$38,MATCH($A183,Baarn!$C$4:$C$38,0)),""))</f>
        <v/>
      </c>
      <c r="G183" s="15">
        <f>IF($A183="",0,IFERROR(INDEX(Baarn!$I$4:$I$38,MATCH($A183,Baarn!$C$4:$C$38,0)),0))</f>
        <v>0</v>
      </c>
      <c r="H183" s="24" t="str">
        <f>IF($A183="","",IFERROR(INDEX(Scherpenzeel!$A$4:$A$103,MATCH($A183,Scherpenzeel!$C$4:$C$103,0)),""))</f>
        <v/>
      </c>
      <c r="I183" s="15">
        <f>IF($A183="",0,IFERROR(INDEX(Scherpenzeel!$I$4:$I$103,MATCH($A183,Scherpenzeel!$C$4:$C$103,0)),0))</f>
        <v>0</v>
      </c>
      <c r="J183" s="24" t="str">
        <f>IF($A183="","",IFERROR(INDEX('4'!$A$4:$A$103,MATCH($A183,'4'!$C$4:$C$103,0)),""))</f>
        <v/>
      </c>
      <c r="K183" s="15">
        <f>IF($A183="",0,IFERROR(INDEX('4'!$I$4:$I$103,MATCH($A183,'4'!$C$4:$C$103,0)),0))</f>
        <v>0</v>
      </c>
      <c r="L183" s="24" t="str">
        <f>IF($A183="","",IFERROR(INDEX('5'!$A$4:$A$103,MATCH($A183,'5'!$C$4:$C$103,0)),""))</f>
        <v/>
      </c>
      <c r="M183" s="15">
        <f>IF($A183="",0,IFERROR(INDEX('5'!$I$4:$I$103,MATCH($A183,'5'!$C$4:$C$103,0)),0))</f>
        <v>0</v>
      </c>
      <c r="N183" s="25" t="str">
        <f t="shared" si="10"/>
        <v/>
      </c>
      <c r="O183" s="26" t="str">
        <f t="shared" si="11"/>
        <v/>
      </c>
      <c r="AA183" t="str">
        <f>IF(ISNUMBER(SEARCH("Junior",'4'!E18)),'4'!C18,"")</f>
        <v/>
      </c>
      <c r="AB183">
        <f>IF(AA183="",0,IF(COUNTIF($AA$1:AA183,AA183)=1,1,0))</f>
        <v>0</v>
      </c>
      <c r="AC183" t="str">
        <f>IF(AB183=1,COUNTIF($AB$1:AB183,1),"")</f>
        <v/>
      </c>
    </row>
    <row r="184" spans="1:29" x14ac:dyDescent="0.25">
      <c r="A184" s="13" t="str">
        <f>IFERROR(INDEX($AA$1:$AA$368,MATCH(181,$AC$1:$AC$368,0)),"")</f>
        <v/>
      </c>
      <c r="B184" s="13" t="str">
        <f>IF($A184="","",IF(IFERROR(INDEX(Barneveld!$E$4:$E$36,MATCH($A184,Barneveld!$C$4:$C$36,0)),"")&lt;&gt;"",IFERROR(INDEX(Barneveld!$E$4:$E$36,MATCH($A184,Barneveld!$C$4:$C$36,0)),""),IF(IFERROR(INDEX(Baarn!$F$4:$F$38,MATCH($A184,Baarn!$C$4:$C$38,0)),"")&lt;&gt;"",IFERROR(INDEX(Baarn!$F$4:$F$38,MATCH($A184,Baarn!$C$4:$C$38,0)),""),IF(IFERROR(INDEX(Scherpenzeel!$F$4:$F$103,MATCH($A184,Scherpenzeel!$C$4:$C$103,0)),"")&lt;&gt;"",IFERROR(INDEX(Scherpenzeel!$F$4:$F$103,MATCH($A184,Scherpenzeel!$C$4:$C$103,0)),""),IF(IFERROR(INDEX('4'!$F$4:$F$103,MATCH($A184,'4'!$C$4:$C$103,0)),"")&lt;&gt;"",IFERROR(INDEX('4'!$F$4:$F$103,MATCH($A184,'4'!$C$4:$C$103,0)),""),IFERROR(INDEX('5'!$F$4:$F$103,MATCH($A184,'5'!$C$4:$C$103,0)),""))))))</f>
        <v/>
      </c>
      <c r="C184" s="13" t="str">
        <f>IF($A184="","",IF(IFERROR(INDEX(Barneveld!$D$4:$D$36,MATCH($A184,Barneveld!$C$4:$C$36,0)),"")&lt;&gt;"",IFERROR(INDEX(Barneveld!$D$4:$D$36,MATCH($A184,Barneveld!$C$4:$C$36,0)),""),IF(IFERROR(INDEX(Baarn!$E$4:$E$38,MATCH($A184,Baarn!$C$4:$C$38,0)),"")&lt;&gt;"",IFERROR(INDEX(Baarn!$E$4:$E$38,MATCH($A184,Baarn!$C$4:$C$38,0)),""),IF(IFERROR(INDEX(Scherpenzeel!$E$4:$E$103,MATCH($A184,Scherpenzeel!$C$4:$C$103,0)),"")&lt;&gt;"",IFERROR(INDEX(Scherpenzeel!$E$4:$E$103,MATCH($A184,Scherpenzeel!$C$4:$C$103,0)),""),IF(IFERROR(INDEX('4'!$E$4:$E$103,MATCH($A184,'4'!$C$4:$C$103,0)),"")&lt;&gt;"",IFERROR(INDEX('4'!$E$4:$E$103,MATCH($A184,'4'!$C$4:$C$103,0)),""),IFERROR(INDEX('5'!$E$4:$E$103,MATCH($A184,'5'!$C$4:$C$103,0)),""))))))</f>
        <v/>
      </c>
      <c r="D184" s="24" t="str">
        <f>IF($A184="","",IFERROR(INDEX(Barneveld!$A$4:$A$36,MATCH($A184,Barneveld!$C$4:$C$36,0)),""))</f>
        <v/>
      </c>
      <c r="E184" s="15">
        <f>IF($A184="",0,IFERROR(INDEX(Barneveld!$H$4:$H$36,MATCH($A184,Barneveld!$C$4:$C$36,0)),0))</f>
        <v>0</v>
      </c>
      <c r="F184" s="24" t="str">
        <f>IF($A184="","",IFERROR(INDEX(Baarn!$A$4:$A$38,MATCH($A184,Baarn!$C$4:$C$38,0)),""))</f>
        <v/>
      </c>
      <c r="G184" s="15">
        <f>IF($A184="",0,IFERROR(INDEX(Baarn!$I$4:$I$38,MATCH($A184,Baarn!$C$4:$C$38,0)),0))</f>
        <v>0</v>
      </c>
      <c r="H184" s="24" t="str">
        <f>IF($A184="","",IFERROR(INDEX(Scherpenzeel!$A$4:$A$103,MATCH($A184,Scherpenzeel!$C$4:$C$103,0)),""))</f>
        <v/>
      </c>
      <c r="I184" s="15">
        <f>IF($A184="",0,IFERROR(INDEX(Scherpenzeel!$I$4:$I$103,MATCH($A184,Scherpenzeel!$C$4:$C$103,0)),0))</f>
        <v>0</v>
      </c>
      <c r="J184" s="24" t="str">
        <f>IF($A184="","",IFERROR(INDEX('4'!$A$4:$A$103,MATCH($A184,'4'!$C$4:$C$103,0)),""))</f>
        <v/>
      </c>
      <c r="K184" s="15">
        <f>IF($A184="",0,IFERROR(INDEX('4'!$I$4:$I$103,MATCH($A184,'4'!$C$4:$C$103,0)),0))</f>
        <v>0</v>
      </c>
      <c r="L184" s="24" t="str">
        <f>IF($A184="","",IFERROR(INDEX('5'!$A$4:$A$103,MATCH($A184,'5'!$C$4:$C$103,0)),""))</f>
        <v/>
      </c>
      <c r="M184" s="15">
        <f>IF($A184="",0,IFERROR(INDEX('5'!$I$4:$I$103,MATCH($A184,'5'!$C$4:$C$103,0)),0))</f>
        <v>0</v>
      </c>
      <c r="N184" s="25" t="str">
        <f t="shared" si="10"/>
        <v/>
      </c>
      <c r="O184" s="26" t="str">
        <f t="shared" si="11"/>
        <v/>
      </c>
      <c r="AA184" t="str">
        <f>IF(ISNUMBER(SEARCH("Junior",'4'!E19)),'4'!C19,"")</f>
        <v/>
      </c>
      <c r="AB184">
        <f>IF(AA184="",0,IF(COUNTIF($AA$1:AA184,AA184)=1,1,0))</f>
        <v>0</v>
      </c>
      <c r="AC184" t="str">
        <f>IF(AB184=1,COUNTIF($AB$1:AB184,1),"")</f>
        <v/>
      </c>
    </row>
    <row r="185" spans="1:29" x14ac:dyDescent="0.25">
      <c r="A185" s="13" t="str">
        <f>IFERROR(INDEX($AA$1:$AA$368,MATCH(182,$AC$1:$AC$368,0)),"")</f>
        <v/>
      </c>
      <c r="B185" s="13" t="str">
        <f>IF($A185="","",IF(IFERROR(INDEX(Barneveld!$E$4:$E$36,MATCH($A185,Barneveld!$C$4:$C$36,0)),"")&lt;&gt;"",IFERROR(INDEX(Barneveld!$E$4:$E$36,MATCH($A185,Barneveld!$C$4:$C$36,0)),""),IF(IFERROR(INDEX(Baarn!$F$4:$F$38,MATCH($A185,Baarn!$C$4:$C$38,0)),"")&lt;&gt;"",IFERROR(INDEX(Baarn!$F$4:$F$38,MATCH($A185,Baarn!$C$4:$C$38,0)),""),IF(IFERROR(INDEX(Scherpenzeel!$F$4:$F$103,MATCH($A185,Scherpenzeel!$C$4:$C$103,0)),"")&lt;&gt;"",IFERROR(INDEX(Scherpenzeel!$F$4:$F$103,MATCH($A185,Scherpenzeel!$C$4:$C$103,0)),""),IF(IFERROR(INDEX('4'!$F$4:$F$103,MATCH($A185,'4'!$C$4:$C$103,0)),"")&lt;&gt;"",IFERROR(INDEX('4'!$F$4:$F$103,MATCH($A185,'4'!$C$4:$C$103,0)),""),IFERROR(INDEX('5'!$F$4:$F$103,MATCH($A185,'5'!$C$4:$C$103,0)),""))))))</f>
        <v/>
      </c>
      <c r="C185" s="13" t="str">
        <f>IF($A185="","",IF(IFERROR(INDEX(Barneveld!$D$4:$D$36,MATCH($A185,Barneveld!$C$4:$C$36,0)),"")&lt;&gt;"",IFERROR(INDEX(Barneveld!$D$4:$D$36,MATCH($A185,Barneveld!$C$4:$C$36,0)),""),IF(IFERROR(INDEX(Baarn!$E$4:$E$38,MATCH($A185,Baarn!$C$4:$C$38,0)),"")&lt;&gt;"",IFERROR(INDEX(Baarn!$E$4:$E$38,MATCH($A185,Baarn!$C$4:$C$38,0)),""),IF(IFERROR(INDEX(Scherpenzeel!$E$4:$E$103,MATCH($A185,Scherpenzeel!$C$4:$C$103,0)),"")&lt;&gt;"",IFERROR(INDEX(Scherpenzeel!$E$4:$E$103,MATCH($A185,Scherpenzeel!$C$4:$C$103,0)),""),IF(IFERROR(INDEX('4'!$E$4:$E$103,MATCH($A185,'4'!$C$4:$C$103,0)),"")&lt;&gt;"",IFERROR(INDEX('4'!$E$4:$E$103,MATCH($A185,'4'!$C$4:$C$103,0)),""),IFERROR(INDEX('5'!$E$4:$E$103,MATCH($A185,'5'!$C$4:$C$103,0)),""))))))</f>
        <v/>
      </c>
      <c r="D185" s="24" t="str">
        <f>IF($A185="","",IFERROR(INDEX(Barneveld!$A$4:$A$36,MATCH($A185,Barneveld!$C$4:$C$36,0)),""))</f>
        <v/>
      </c>
      <c r="E185" s="15">
        <f>IF($A185="",0,IFERROR(INDEX(Barneveld!$H$4:$H$36,MATCH($A185,Barneveld!$C$4:$C$36,0)),0))</f>
        <v>0</v>
      </c>
      <c r="F185" s="24" t="str">
        <f>IF($A185="","",IFERROR(INDEX(Baarn!$A$4:$A$38,MATCH($A185,Baarn!$C$4:$C$38,0)),""))</f>
        <v/>
      </c>
      <c r="G185" s="15">
        <f>IF($A185="",0,IFERROR(INDEX(Baarn!$I$4:$I$38,MATCH($A185,Baarn!$C$4:$C$38,0)),0))</f>
        <v>0</v>
      </c>
      <c r="H185" s="24" t="str">
        <f>IF($A185="","",IFERROR(INDEX(Scherpenzeel!$A$4:$A$103,MATCH($A185,Scherpenzeel!$C$4:$C$103,0)),""))</f>
        <v/>
      </c>
      <c r="I185" s="15">
        <f>IF($A185="",0,IFERROR(INDEX(Scherpenzeel!$I$4:$I$103,MATCH($A185,Scherpenzeel!$C$4:$C$103,0)),0))</f>
        <v>0</v>
      </c>
      <c r="J185" s="24" t="str">
        <f>IF($A185="","",IFERROR(INDEX('4'!$A$4:$A$103,MATCH($A185,'4'!$C$4:$C$103,0)),""))</f>
        <v/>
      </c>
      <c r="K185" s="15">
        <f>IF($A185="",0,IFERROR(INDEX('4'!$I$4:$I$103,MATCH($A185,'4'!$C$4:$C$103,0)),0))</f>
        <v>0</v>
      </c>
      <c r="L185" s="24" t="str">
        <f>IF($A185="","",IFERROR(INDEX('5'!$A$4:$A$103,MATCH($A185,'5'!$C$4:$C$103,0)),""))</f>
        <v/>
      </c>
      <c r="M185" s="15">
        <f>IF($A185="",0,IFERROR(INDEX('5'!$I$4:$I$103,MATCH($A185,'5'!$C$4:$C$103,0)),0))</f>
        <v>0</v>
      </c>
      <c r="N185" s="25" t="str">
        <f t="shared" si="10"/>
        <v/>
      </c>
      <c r="O185" s="26" t="str">
        <f t="shared" si="11"/>
        <v/>
      </c>
      <c r="AA185" t="str">
        <f>IF(ISNUMBER(SEARCH("Junior",'4'!E20)),'4'!C20,"")</f>
        <v/>
      </c>
      <c r="AB185">
        <f>IF(AA185="",0,IF(COUNTIF($AA$1:AA185,AA185)=1,1,0))</f>
        <v>0</v>
      </c>
      <c r="AC185" t="str">
        <f>IF(AB185=1,COUNTIF($AB$1:AB185,1),"")</f>
        <v/>
      </c>
    </row>
    <row r="186" spans="1:29" x14ac:dyDescent="0.25">
      <c r="A186" s="13" t="str">
        <f>IFERROR(INDEX($AA$1:$AA$368,MATCH(183,$AC$1:$AC$368,0)),"")</f>
        <v/>
      </c>
      <c r="B186" s="13" t="str">
        <f>IF($A186="","",IF(IFERROR(INDEX(Barneveld!$E$4:$E$36,MATCH($A186,Barneveld!$C$4:$C$36,0)),"")&lt;&gt;"",IFERROR(INDEX(Barneveld!$E$4:$E$36,MATCH($A186,Barneveld!$C$4:$C$36,0)),""),IF(IFERROR(INDEX(Baarn!$F$4:$F$38,MATCH($A186,Baarn!$C$4:$C$38,0)),"")&lt;&gt;"",IFERROR(INDEX(Baarn!$F$4:$F$38,MATCH($A186,Baarn!$C$4:$C$38,0)),""),IF(IFERROR(INDEX(Scherpenzeel!$F$4:$F$103,MATCH($A186,Scherpenzeel!$C$4:$C$103,0)),"")&lt;&gt;"",IFERROR(INDEX(Scherpenzeel!$F$4:$F$103,MATCH($A186,Scherpenzeel!$C$4:$C$103,0)),""),IF(IFERROR(INDEX('4'!$F$4:$F$103,MATCH($A186,'4'!$C$4:$C$103,0)),"")&lt;&gt;"",IFERROR(INDEX('4'!$F$4:$F$103,MATCH($A186,'4'!$C$4:$C$103,0)),""),IFERROR(INDEX('5'!$F$4:$F$103,MATCH($A186,'5'!$C$4:$C$103,0)),""))))))</f>
        <v/>
      </c>
      <c r="C186" s="13" t="str">
        <f>IF($A186="","",IF(IFERROR(INDEX(Barneveld!$D$4:$D$36,MATCH($A186,Barneveld!$C$4:$C$36,0)),"")&lt;&gt;"",IFERROR(INDEX(Barneveld!$D$4:$D$36,MATCH($A186,Barneveld!$C$4:$C$36,0)),""),IF(IFERROR(INDEX(Baarn!$E$4:$E$38,MATCH($A186,Baarn!$C$4:$C$38,0)),"")&lt;&gt;"",IFERROR(INDEX(Baarn!$E$4:$E$38,MATCH($A186,Baarn!$C$4:$C$38,0)),""),IF(IFERROR(INDEX(Scherpenzeel!$E$4:$E$103,MATCH($A186,Scherpenzeel!$C$4:$C$103,0)),"")&lt;&gt;"",IFERROR(INDEX(Scherpenzeel!$E$4:$E$103,MATCH($A186,Scherpenzeel!$C$4:$C$103,0)),""),IF(IFERROR(INDEX('4'!$E$4:$E$103,MATCH($A186,'4'!$C$4:$C$103,0)),"")&lt;&gt;"",IFERROR(INDEX('4'!$E$4:$E$103,MATCH($A186,'4'!$C$4:$C$103,0)),""),IFERROR(INDEX('5'!$E$4:$E$103,MATCH($A186,'5'!$C$4:$C$103,0)),""))))))</f>
        <v/>
      </c>
      <c r="D186" s="24" t="str">
        <f>IF($A186="","",IFERROR(INDEX(Barneveld!$A$4:$A$36,MATCH($A186,Barneveld!$C$4:$C$36,0)),""))</f>
        <v/>
      </c>
      <c r="E186" s="15">
        <f>IF($A186="",0,IFERROR(INDEX(Barneveld!$H$4:$H$36,MATCH($A186,Barneveld!$C$4:$C$36,0)),0))</f>
        <v>0</v>
      </c>
      <c r="F186" s="24" t="str">
        <f>IF($A186="","",IFERROR(INDEX(Baarn!$A$4:$A$38,MATCH($A186,Baarn!$C$4:$C$38,0)),""))</f>
        <v/>
      </c>
      <c r="G186" s="15">
        <f>IF($A186="",0,IFERROR(INDEX(Baarn!$I$4:$I$38,MATCH($A186,Baarn!$C$4:$C$38,0)),0))</f>
        <v>0</v>
      </c>
      <c r="H186" s="24" t="str">
        <f>IF($A186="","",IFERROR(INDEX(Scherpenzeel!$A$4:$A$103,MATCH($A186,Scherpenzeel!$C$4:$C$103,0)),""))</f>
        <v/>
      </c>
      <c r="I186" s="15">
        <f>IF($A186="",0,IFERROR(INDEX(Scherpenzeel!$I$4:$I$103,MATCH($A186,Scherpenzeel!$C$4:$C$103,0)),0))</f>
        <v>0</v>
      </c>
      <c r="J186" s="24" t="str">
        <f>IF($A186="","",IFERROR(INDEX('4'!$A$4:$A$103,MATCH($A186,'4'!$C$4:$C$103,0)),""))</f>
        <v/>
      </c>
      <c r="K186" s="15">
        <f>IF($A186="",0,IFERROR(INDEX('4'!$I$4:$I$103,MATCH($A186,'4'!$C$4:$C$103,0)),0))</f>
        <v>0</v>
      </c>
      <c r="L186" s="24" t="str">
        <f>IF($A186="","",IFERROR(INDEX('5'!$A$4:$A$103,MATCH($A186,'5'!$C$4:$C$103,0)),""))</f>
        <v/>
      </c>
      <c r="M186" s="15">
        <f>IF($A186="",0,IFERROR(INDEX('5'!$I$4:$I$103,MATCH($A186,'5'!$C$4:$C$103,0)),0))</f>
        <v>0</v>
      </c>
      <c r="N186" s="25" t="str">
        <f t="shared" si="10"/>
        <v/>
      </c>
      <c r="O186" s="26" t="str">
        <f t="shared" si="11"/>
        <v/>
      </c>
      <c r="AA186" t="str">
        <f>IF(ISNUMBER(SEARCH("Junior",'4'!E21)),'4'!C21,"")</f>
        <v/>
      </c>
      <c r="AB186">
        <f>IF(AA186="",0,IF(COUNTIF($AA$1:AA186,AA186)=1,1,0))</f>
        <v>0</v>
      </c>
      <c r="AC186" t="str">
        <f>IF(AB186=1,COUNTIF($AB$1:AB186,1),"")</f>
        <v/>
      </c>
    </row>
    <row r="187" spans="1:29" x14ac:dyDescent="0.25">
      <c r="A187" s="13" t="str">
        <f>IFERROR(INDEX($AA$1:$AA$368,MATCH(184,$AC$1:$AC$368,0)),"")</f>
        <v/>
      </c>
      <c r="B187" s="13" t="str">
        <f>IF($A187="","",IF(IFERROR(INDEX(Barneveld!$E$4:$E$36,MATCH($A187,Barneveld!$C$4:$C$36,0)),"")&lt;&gt;"",IFERROR(INDEX(Barneveld!$E$4:$E$36,MATCH($A187,Barneveld!$C$4:$C$36,0)),""),IF(IFERROR(INDEX(Baarn!$F$4:$F$38,MATCH($A187,Baarn!$C$4:$C$38,0)),"")&lt;&gt;"",IFERROR(INDEX(Baarn!$F$4:$F$38,MATCH($A187,Baarn!$C$4:$C$38,0)),""),IF(IFERROR(INDEX(Scherpenzeel!$F$4:$F$103,MATCH($A187,Scherpenzeel!$C$4:$C$103,0)),"")&lt;&gt;"",IFERROR(INDEX(Scherpenzeel!$F$4:$F$103,MATCH($A187,Scherpenzeel!$C$4:$C$103,0)),""),IF(IFERROR(INDEX('4'!$F$4:$F$103,MATCH($A187,'4'!$C$4:$C$103,0)),"")&lt;&gt;"",IFERROR(INDEX('4'!$F$4:$F$103,MATCH($A187,'4'!$C$4:$C$103,0)),""),IFERROR(INDEX('5'!$F$4:$F$103,MATCH($A187,'5'!$C$4:$C$103,0)),""))))))</f>
        <v/>
      </c>
      <c r="C187" s="13" t="str">
        <f>IF($A187="","",IF(IFERROR(INDEX(Barneveld!$D$4:$D$36,MATCH($A187,Barneveld!$C$4:$C$36,0)),"")&lt;&gt;"",IFERROR(INDEX(Barneveld!$D$4:$D$36,MATCH($A187,Barneveld!$C$4:$C$36,0)),""),IF(IFERROR(INDEX(Baarn!$E$4:$E$38,MATCH($A187,Baarn!$C$4:$C$38,0)),"")&lt;&gt;"",IFERROR(INDEX(Baarn!$E$4:$E$38,MATCH($A187,Baarn!$C$4:$C$38,0)),""),IF(IFERROR(INDEX(Scherpenzeel!$E$4:$E$103,MATCH($A187,Scherpenzeel!$C$4:$C$103,0)),"")&lt;&gt;"",IFERROR(INDEX(Scherpenzeel!$E$4:$E$103,MATCH($A187,Scherpenzeel!$C$4:$C$103,0)),""),IF(IFERROR(INDEX('4'!$E$4:$E$103,MATCH($A187,'4'!$C$4:$C$103,0)),"")&lt;&gt;"",IFERROR(INDEX('4'!$E$4:$E$103,MATCH($A187,'4'!$C$4:$C$103,0)),""),IFERROR(INDEX('5'!$E$4:$E$103,MATCH($A187,'5'!$C$4:$C$103,0)),""))))))</f>
        <v/>
      </c>
      <c r="D187" s="24" t="str">
        <f>IF($A187="","",IFERROR(INDEX(Barneveld!$A$4:$A$36,MATCH($A187,Barneveld!$C$4:$C$36,0)),""))</f>
        <v/>
      </c>
      <c r="E187" s="15">
        <f>IF($A187="",0,IFERROR(INDEX(Barneveld!$H$4:$H$36,MATCH($A187,Barneveld!$C$4:$C$36,0)),0))</f>
        <v>0</v>
      </c>
      <c r="F187" s="24" t="str">
        <f>IF($A187="","",IFERROR(INDEX(Baarn!$A$4:$A$38,MATCH($A187,Baarn!$C$4:$C$38,0)),""))</f>
        <v/>
      </c>
      <c r="G187" s="15">
        <f>IF($A187="",0,IFERROR(INDEX(Baarn!$I$4:$I$38,MATCH($A187,Baarn!$C$4:$C$38,0)),0))</f>
        <v>0</v>
      </c>
      <c r="H187" s="24" t="str">
        <f>IF($A187="","",IFERROR(INDEX(Scherpenzeel!$A$4:$A$103,MATCH($A187,Scherpenzeel!$C$4:$C$103,0)),""))</f>
        <v/>
      </c>
      <c r="I187" s="15">
        <f>IF($A187="",0,IFERROR(INDEX(Scherpenzeel!$I$4:$I$103,MATCH($A187,Scherpenzeel!$C$4:$C$103,0)),0))</f>
        <v>0</v>
      </c>
      <c r="J187" s="24" t="str">
        <f>IF($A187="","",IFERROR(INDEX('4'!$A$4:$A$103,MATCH($A187,'4'!$C$4:$C$103,0)),""))</f>
        <v/>
      </c>
      <c r="K187" s="15">
        <f>IF($A187="",0,IFERROR(INDEX('4'!$I$4:$I$103,MATCH($A187,'4'!$C$4:$C$103,0)),0))</f>
        <v>0</v>
      </c>
      <c r="L187" s="24" t="str">
        <f>IF($A187="","",IFERROR(INDEX('5'!$A$4:$A$103,MATCH($A187,'5'!$C$4:$C$103,0)),""))</f>
        <v/>
      </c>
      <c r="M187" s="15">
        <f>IF($A187="",0,IFERROR(INDEX('5'!$I$4:$I$103,MATCH($A187,'5'!$C$4:$C$103,0)),0))</f>
        <v>0</v>
      </c>
      <c r="N187" s="25" t="str">
        <f t="shared" si="10"/>
        <v/>
      </c>
      <c r="O187" s="26" t="str">
        <f t="shared" si="11"/>
        <v/>
      </c>
      <c r="AA187" t="str">
        <f>IF(ISNUMBER(SEARCH("Junior",'4'!E22)),'4'!C22,"")</f>
        <v/>
      </c>
      <c r="AB187">
        <f>IF(AA187="",0,IF(COUNTIF($AA$1:AA187,AA187)=1,1,0))</f>
        <v>0</v>
      </c>
      <c r="AC187" t="str">
        <f>IF(AB187=1,COUNTIF($AB$1:AB187,1),"")</f>
        <v/>
      </c>
    </row>
    <row r="188" spans="1:29" x14ac:dyDescent="0.25">
      <c r="A188" s="13" t="str">
        <f>IFERROR(INDEX($AA$1:$AA$368,MATCH(185,$AC$1:$AC$368,0)),"")</f>
        <v/>
      </c>
      <c r="B188" s="13" t="str">
        <f>IF($A188="","",IF(IFERROR(INDEX(Barneveld!$E$4:$E$36,MATCH($A188,Barneveld!$C$4:$C$36,0)),"")&lt;&gt;"",IFERROR(INDEX(Barneveld!$E$4:$E$36,MATCH($A188,Barneveld!$C$4:$C$36,0)),""),IF(IFERROR(INDEX(Baarn!$F$4:$F$38,MATCH($A188,Baarn!$C$4:$C$38,0)),"")&lt;&gt;"",IFERROR(INDEX(Baarn!$F$4:$F$38,MATCH($A188,Baarn!$C$4:$C$38,0)),""),IF(IFERROR(INDEX(Scherpenzeel!$F$4:$F$103,MATCH($A188,Scherpenzeel!$C$4:$C$103,0)),"")&lt;&gt;"",IFERROR(INDEX(Scherpenzeel!$F$4:$F$103,MATCH($A188,Scherpenzeel!$C$4:$C$103,0)),""),IF(IFERROR(INDEX('4'!$F$4:$F$103,MATCH($A188,'4'!$C$4:$C$103,0)),"")&lt;&gt;"",IFERROR(INDEX('4'!$F$4:$F$103,MATCH($A188,'4'!$C$4:$C$103,0)),""),IFERROR(INDEX('5'!$F$4:$F$103,MATCH($A188,'5'!$C$4:$C$103,0)),""))))))</f>
        <v/>
      </c>
      <c r="C188" s="13" t="str">
        <f>IF($A188="","",IF(IFERROR(INDEX(Barneveld!$D$4:$D$36,MATCH($A188,Barneveld!$C$4:$C$36,0)),"")&lt;&gt;"",IFERROR(INDEX(Barneveld!$D$4:$D$36,MATCH($A188,Barneveld!$C$4:$C$36,0)),""),IF(IFERROR(INDEX(Baarn!$E$4:$E$38,MATCH($A188,Baarn!$C$4:$C$38,0)),"")&lt;&gt;"",IFERROR(INDEX(Baarn!$E$4:$E$38,MATCH($A188,Baarn!$C$4:$C$38,0)),""),IF(IFERROR(INDEX(Scherpenzeel!$E$4:$E$103,MATCH($A188,Scherpenzeel!$C$4:$C$103,0)),"")&lt;&gt;"",IFERROR(INDEX(Scherpenzeel!$E$4:$E$103,MATCH($A188,Scherpenzeel!$C$4:$C$103,0)),""),IF(IFERROR(INDEX('4'!$E$4:$E$103,MATCH($A188,'4'!$C$4:$C$103,0)),"")&lt;&gt;"",IFERROR(INDEX('4'!$E$4:$E$103,MATCH($A188,'4'!$C$4:$C$103,0)),""),IFERROR(INDEX('5'!$E$4:$E$103,MATCH($A188,'5'!$C$4:$C$103,0)),""))))))</f>
        <v/>
      </c>
      <c r="D188" s="24" t="str">
        <f>IF($A188="","",IFERROR(INDEX(Barneveld!$A$4:$A$36,MATCH($A188,Barneveld!$C$4:$C$36,0)),""))</f>
        <v/>
      </c>
      <c r="E188" s="15">
        <f>IF($A188="",0,IFERROR(INDEX(Barneveld!$H$4:$H$36,MATCH($A188,Barneveld!$C$4:$C$36,0)),0))</f>
        <v>0</v>
      </c>
      <c r="F188" s="24" t="str">
        <f>IF($A188="","",IFERROR(INDEX(Baarn!$A$4:$A$38,MATCH($A188,Baarn!$C$4:$C$38,0)),""))</f>
        <v/>
      </c>
      <c r="G188" s="15">
        <f>IF($A188="",0,IFERROR(INDEX(Baarn!$I$4:$I$38,MATCH($A188,Baarn!$C$4:$C$38,0)),0))</f>
        <v>0</v>
      </c>
      <c r="H188" s="24" t="str">
        <f>IF($A188="","",IFERROR(INDEX(Scherpenzeel!$A$4:$A$103,MATCH($A188,Scherpenzeel!$C$4:$C$103,0)),""))</f>
        <v/>
      </c>
      <c r="I188" s="15">
        <f>IF($A188="",0,IFERROR(INDEX(Scherpenzeel!$I$4:$I$103,MATCH($A188,Scherpenzeel!$C$4:$C$103,0)),0))</f>
        <v>0</v>
      </c>
      <c r="J188" s="24" t="str">
        <f>IF($A188="","",IFERROR(INDEX('4'!$A$4:$A$103,MATCH($A188,'4'!$C$4:$C$103,0)),""))</f>
        <v/>
      </c>
      <c r="K188" s="15">
        <f>IF($A188="",0,IFERROR(INDEX('4'!$I$4:$I$103,MATCH($A188,'4'!$C$4:$C$103,0)),0))</f>
        <v>0</v>
      </c>
      <c r="L188" s="24" t="str">
        <f>IF($A188="","",IFERROR(INDEX('5'!$A$4:$A$103,MATCH($A188,'5'!$C$4:$C$103,0)),""))</f>
        <v/>
      </c>
      <c r="M188" s="15">
        <f>IF($A188="",0,IFERROR(INDEX('5'!$I$4:$I$103,MATCH($A188,'5'!$C$4:$C$103,0)),0))</f>
        <v>0</v>
      </c>
      <c r="N188" s="25" t="str">
        <f t="shared" si="10"/>
        <v/>
      </c>
      <c r="O188" s="26" t="str">
        <f t="shared" si="11"/>
        <v/>
      </c>
      <c r="AA188" t="str">
        <f>IF(ISNUMBER(SEARCH("Junior",'4'!E23)),'4'!C23,"")</f>
        <v/>
      </c>
      <c r="AB188">
        <f>IF(AA188="",0,IF(COUNTIF($AA$1:AA188,AA188)=1,1,0))</f>
        <v>0</v>
      </c>
      <c r="AC188" t="str">
        <f>IF(AB188=1,COUNTIF($AB$1:AB188,1),"")</f>
        <v/>
      </c>
    </row>
    <row r="189" spans="1:29" x14ac:dyDescent="0.25">
      <c r="A189" s="13" t="str">
        <f>IFERROR(INDEX($AA$1:$AA$368,MATCH(186,$AC$1:$AC$368,0)),"")</f>
        <v/>
      </c>
      <c r="B189" s="13" t="str">
        <f>IF($A189="","",IF(IFERROR(INDEX(Barneveld!$E$4:$E$36,MATCH($A189,Barneveld!$C$4:$C$36,0)),"")&lt;&gt;"",IFERROR(INDEX(Barneveld!$E$4:$E$36,MATCH($A189,Barneveld!$C$4:$C$36,0)),""),IF(IFERROR(INDEX(Baarn!$F$4:$F$38,MATCH($A189,Baarn!$C$4:$C$38,0)),"")&lt;&gt;"",IFERROR(INDEX(Baarn!$F$4:$F$38,MATCH($A189,Baarn!$C$4:$C$38,0)),""),IF(IFERROR(INDEX(Scherpenzeel!$F$4:$F$103,MATCH($A189,Scherpenzeel!$C$4:$C$103,0)),"")&lt;&gt;"",IFERROR(INDEX(Scherpenzeel!$F$4:$F$103,MATCH($A189,Scherpenzeel!$C$4:$C$103,0)),""),IF(IFERROR(INDEX('4'!$F$4:$F$103,MATCH($A189,'4'!$C$4:$C$103,0)),"")&lt;&gt;"",IFERROR(INDEX('4'!$F$4:$F$103,MATCH($A189,'4'!$C$4:$C$103,0)),""),IFERROR(INDEX('5'!$F$4:$F$103,MATCH($A189,'5'!$C$4:$C$103,0)),""))))))</f>
        <v/>
      </c>
      <c r="C189" s="13" t="str">
        <f>IF($A189="","",IF(IFERROR(INDEX(Barneveld!$D$4:$D$36,MATCH($A189,Barneveld!$C$4:$C$36,0)),"")&lt;&gt;"",IFERROR(INDEX(Barneveld!$D$4:$D$36,MATCH($A189,Barneveld!$C$4:$C$36,0)),""),IF(IFERROR(INDEX(Baarn!$E$4:$E$38,MATCH($A189,Baarn!$C$4:$C$38,0)),"")&lt;&gt;"",IFERROR(INDEX(Baarn!$E$4:$E$38,MATCH($A189,Baarn!$C$4:$C$38,0)),""),IF(IFERROR(INDEX(Scherpenzeel!$E$4:$E$103,MATCH($A189,Scherpenzeel!$C$4:$C$103,0)),"")&lt;&gt;"",IFERROR(INDEX(Scherpenzeel!$E$4:$E$103,MATCH($A189,Scherpenzeel!$C$4:$C$103,0)),""),IF(IFERROR(INDEX('4'!$E$4:$E$103,MATCH($A189,'4'!$C$4:$C$103,0)),"")&lt;&gt;"",IFERROR(INDEX('4'!$E$4:$E$103,MATCH($A189,'4'!$C$4:$C$103,0)),""),IFERROR(INDEX('5'!$E$4:$E$103,MATCH($A189,'5'!$C$4:$C$103,0)),""))))))</f>
        <v/>
      </c>
      <c r="D189" s="24" t="str">
        <f>IF($A189="","",IFERROR(INDEX(Barneveld!$A$4:$A$36,MATCH($A189,Barneveld!$C$4:$C$36,0)),""))</f>
        <v/>
      </c>
      <c r="E189" s="15">
        <f>IF($A189="",0,IFERROR(INDEX(Barneveld!$H$4:$H$36,MATCH($A189,Barneveld!$C$4:$C$36,0)),0))</f>
        <v>0</v>
      </c>
      <c r="F189" s="24" t="str">
        <f>IF($A189="","",IFERROR(INDEX(Baarn!$A$4:$A$38,MATCH($A189,Baarn!$C$4:$C$38,0)),""))</f>
        <v/>
      </c>
      <c r="G189" s="15">
        <f>IF($A189="",0,IFERROR(INDEX(Baarn!$I$4:$I$38,MATCH($A189,Baarn!$C$4:$C$38,0)),0))</f>
        <v>0</v>
      </c>
      <c r="H189" s="24" t="str">
        <f>IF($A189="","",IFERROR(INDEX(Scherpenzeel!$A$4:$A$103,MATCH($A189,Scherpenzeel!$C$4:$C$103,0)),""))</f>
        <v/>
      </c>
      <c r="I189" s="15">
        <f>IF($A189="",0,IFERROR(INDEX(Scherpenzeel!$I$4:$I$103,MATCH($A189,Scherpenzeel!$C$4:$C$103,0)),0))</f>
        <v>0</v>
      </c>
      <c r="J189" s="24" t="str">
        <f>IF($A189="","",IFERROR(INDEX('4'!$A$4:$A$103,MATCH($A189,'4'!$C$4:$C$103,0)),""))</f>
        <v/>
      </c>
      <c r="K189" s="15">
        <f>IF($A189="",0,IFERROR(INDEX('4'!$I$4:$I$103,MATCH($A189,'4'!$C$4:$C$103,0)),0))</f>
        <v>0</v>
      </c>
      <c r="L189" s="24" t="str">
        <f>IF($A189="","",IFERROR(INDEX('5'!$A$4:$A$103,MATCH($A189,'5'!$C$4:$C$103,0)),""))</f>
        <v/>
      </c>
      <c r="M189" s="15">
        <f>IF($A189="",0,IFERROR(INDEX('5'!$I$4:$I$103,MATCH($A189,'5'!$C$4:$C$103,0)),0))</f>
        <v>0</v>
      </c>
      <c r="N189" s="25" t="str">
        <f t="shared" si="10"/>
        <v/>
      </c>
      <c r="O189" s="26" t="str">
        <f t="shared" si="11"/>
        <v/>
      </c>
      <c r="AA189" t="str">
        <f>IF(ISNUMBER(SEARCH("Junior",'4'!E24)),'4'!C24,"")</f>
        <v/>
      </c>
      <c r="AB189">
        <f>IF(AA189="",0,IF(COUNTIF($AA$1:AA189,AA189)=1,1,0))</f>
        <v>0</v>
      </c>
      <c r="AC189" t="str">
        <f>IF(AB189=1,COUNTIF($AB$1:AB189,1),"")</f>
        <v/>
      </c>
    </row>
    <row r="190" spans="1:29" x14ac:dyDescent="0.25">
      <c r="A190" s="13" t="str">
        <f>IFERROR(INDEX($AA$1:$AA$368,MATCH(187,$AC$1:$AC$368,0)),"")</f>
        <v/>
      </c>
      <c r="B190" s="13" t="str">
        <f>IF($A190="","",IF(IFERROR(INDEX(Barneveld!$E$4:$E$36,MATCH($A190,Barneveld!$C$4:$C$36,0)),"")&lt;&gt;"",IFERROR(INDEX(Barneveld!$E$4:$E$36,MATCH($A190,Barneveld!$C$4:$C$36,0)),""),IF(IFERROR(INDEX(Baarn!$F$4:$F$38,MATCH($A190,Baarn!$C$4:$C$38,0)),"")&lt;&gt;"",IFERROR(INDEX(Baarn!$F$4:$F$38,MATCH($A190,Baarn!$C$4:$C$38,0)),""),IF(IFERROR(INDEX(Scherpenzeel!$F$4:$F$103,MATCH($A190,Scherpenzeel!$C$4:$C$103,0)),"")&lt;&gt;"",IFERROR(INDEX(Scherpenzeel!$F$4:$F$103,MATCH($A190,Scherpenzeel!$C$4:$C$103,0)),""),IF(IFERROR(INDEX('4'!$F$4:$F$103,MATCH($A190,'4'!$C$4:$C$103,0)),"")&lt;&gt;"",IFERROR(INDEX('4'!$F$4:$F$103,MATCH($A190,'4'!$C$4:$C$103,0)),""),IFERROR(INDEX('5'!$F$4:$F$103,MATCH($A190,'5'!$C$4:$C$103,0)),""))))))</f>
        <v/>
      </c>
      <c r="C190" s="13" t="str">
        <f>IF($A190="","",IF(IFERROR(INDEX(Barneveld!$D$4:$D$36,MATCH($A190,Barneveld!$C$4:$C$36,0)),"")&lt;&gt;"",IFERROR(INDEX(Barneveld!$D$4:$D$36,MATCH($A190,Barneveld!$C$4:$C$36,0)),""),IF(IFERROR(INDEX(Baarn!$E$4:$E$38,MATCH($A190,Baarn!$C$4:$C$38,0)),"")&lt;&gt;"",IFERROR(INDEX(Baarn!$E$4:$E$38,MATCH($A190,Baarn!$C$4:$C$38,0)),""),IF(IFERROR(INDEX(Scherpenzeel!$E$4:$E$103,MATCH($A190,Scherpenzeel!$C$4:$C$103,0)),"")&lt;&gt;"",IFERROR(INDEX(Scherpenzeel!$E$4:$E$103,MATCH($A190,Scherpenzeel!$C$4:$C$103,0)),""),IF(IFERROR(INDEX('4'!$E$4:$E$103,MATCH($A190,'4'!$C$4:$C$103,0)),"")&lt;&gt;"",IFERROR(INDEX('4'!$E$4:$E$103,MATCH($A190,'4'!$C$4:$C$103,0)),""),IFERROR(INDEX('5'!$E$4:$E$103,MATCH($A190,'5'!$C$4:$C$103,0)),""))))))</f>
        <v/>
      </c>
      <c r="D190" s="24" t="str">
        <f>IF($A190="","",IFERROR(INDEX(Barneveld!$A$4:$A$36,MATCH($A190,Barneveld!$C$4:$C$36,0)),""))</f>
        <v/>
      </c>
      <c r="E190" s="15">
        <f>IF($A190="",0,IFERROR(INDEX(Barneveld!$H$4:$H$36,MATCH($A190,Barneveld!$C$4:$C$36,0)),0))</f>
        <v>0</v>
      </c>
      <c r="F190" s="24" t="str">
        <f>IF($A190="","",IFERROR(INDEX(Baarn!$A$4:$A$38,MATCH($A190,Baarn!$C$4:$C$38,0)),""))</f>
        <v/>
      </c>
      <c r="G190" s="15">
        <f>IF($A190="",0,IFERROR(INDEX(Baarn!$I$4:$I$38,MATCH($A190,Baarn!$C$4:$C$38,0)),0))</f>
        <v>0</v>
      </c>
      <c r="H190" s="24" t="str">
        <f>IF($A190="","",IFERROR(INDEX(Scherpenzeel!$A$4:$A$103,MATCH($A190,Scherpenzeel!$C$4:$C$103,0)),""))</f>
        <v/>
      </c>
      <c r="I190" s="15">
        <f>IF($A190="",0,IFERROR(INDEX(Scherpenzeel!$I$4:$I$103,MATCH($A190,Scherpenzeel!$C$4:$C$103,0)),0))</f>
        <v>0</v>
      </c>
      <c r="J190" s="24" t="str">
        <f>IF($A190="","",IFERROR(INDEX('4'!$A$4:$A$103,MATCH($A190,'4'!$C$4:$C$103,0)),""))</f>
        <v/>
      </c>
      <c r="K190" s="15">
        <f>IF($A190="",0,IFERROR(INDEX('4'!$I$4:$I$103,MATCH($A190,'4'!$C$4:$C$103,0)),0))</f>
        <v>0</v>
      </c>
      <c r="L190" s="24" t="str">
        <f>IF($A190="","",IFERROR(INDEX('5'!$A$4:$A$103,MATCH($A190,'5'!$C$4:$C$103,0)),""))</f>
        <v/>
      </c>
      <c r="M190" s="15">
        <f>IF($A190="",0,IFERROR(INDEX('5'!$I$4:$I$103,MATCH($A190,'5'!$C$4:$C$103,0)),0))</f>
        <v>0</v>
      </c>
      <c r="N190" s="25" t="str">
        <f t="shared" si="10"/>
        <v/>
      </c>
      <c r="O190" s="26" t="str">
        <f t="shared" si="11"/>
        <v/>
      </c>
      <c r="AA190" t="str">
        <f>IF(ISNUMBER(SEARCH("Junior",'4'!E25)),'4'!C25,"")</f>
        <v/>
      </c>
      <c r="AB190">
        <f>IF(AA190="",0,IF(COUNTIF($AA$1:AA190,AA190)=1,1,0))</f>
        <v>0</v>
      </c>
      <c r="AC190" t="str">
        <f>IF(AB190=1,COUNTIF($AB$1:AB190,1),"")</f>
        <v/>
      </c>
    </row>
    <row r="191" spans="1:29" x14ac:dyDescent="0.25">
      <c r="A191" s="13" t="str">
        <f>IFERROR(INDEX($AA$1:$AA$368,MATCH(188,$AC$1:$AC$368,0)),"")</f>
        <v/>
      </c>
      <c r="B191" s="13" t="str">
        <f>IF($A191="","",IF(IFERROR(INDEX(Barneveld!$E$4:$E$36,MATCH($A191,Barneveld!$C$4:$C$36,0)),"")&lt;&gt;"",IFERROR(INDEX(Barneveld!$E$4:$E$36,MATCH($A191,Barneveld!$C$4:$C$36,0)),""),IF(IFERROR(INDEX(Baarn!$F$4:$F$38,MATCH($A191,Baarn!$C$4:$C$38,0)),"")&lt;&gt;"",IFERROR(INDEX(Baarn!$F$4:$F$38,MATCH($A191,Baarn!$C$4:$C$38,0)),""),IF(IFERROR(INDEX(Scherpenzeel!$F$4:$F$103,MATCH($A191,Scherpenzeel!$C$4:$C$103,0)),"")&lt;&gt;"",IFERROR(INDEX(Scherpenzeel!$F$4:$F$103,MATCH($A191,Scherpenzeel!$C$4:$C$103,0)),""),IF(IFERROR(INDEX('4'!$F$4:$F$103,MATCH($A191,'4'!$C$4:$C$103,0)),"")&lt;&gt;"",IFERROR(INDEX('4'!$F$4:$F$103,MATCH($A191,'4'!$C$4:$C$103,0)),""),IFERROR(INDEX('5'!$F$4:$F$103,MATCH($A191,'5'!$C$4:$C$103,0)),""))))))</f>
        <v/>
      </c>
      <c r="C191" s="13" t="str">
        <f>IF($A191="","",IF(IFERROR(INDEX(Barneveld!$D$4:$D$36,MATCH($A191,Barneveld!$C$4:$C$36,0)),"")&lt;&gt;"",IFERROR(INDEX(Barneveld!$D$4:$D$36,MATCH($A191,Barneveld!$C$4:$C$36,0)),""),IF(IFERROR(INDEX(Baarn!$E$4:$E$38,MATCH($A191,Baarn!$C$4:$C$38,0)),"")&lt;&gt;"",IFERROR(INDEX(Baarn!$E$4:$E$38,MATCH($A191,Baarn!$C$4:$C$38,0)),""),IF(IFERROR(INDEX(Scherpenzeel!$E$4:$E$103,MATCH($A191,Scherpenzeel!$C$4:$C$103,0)),"")&lt;&gt;"",IFERROR(INDEX(Scherpenzeel!$E$4:$E$103,MATCH($A191,Scherpenzeel!$C$4:$C$103,0)),""),IF(IFERROR(INDEX('4'!$E$4:$E$103,MATCH($A191,'4'!$C$4:$C$103,0)),"")&lt;&gt;"",IFERROR(INDEX('4'!$E$4:$E$103,MATCH($A191,'4'!$C$4:$C$103,0)),""),IFERROR(INDEX('5'!$E$4:$E$103,MATCH($A191,'5'!$C$4:$C$103,0)),""))))))</f>
        <v/>
      </c>
      <c r="D191" s="24" t="str">
        <f>IF($A191="","",IFERROR(INDEX(Barneveld!$A$4:$A$36,MATCH($A191,Barneveld!$C$4:$C$36,0)),""))</f>
        <v/>
      </c>
      <c r="E191" s="15">
        <f>IF($A191="",0,IFERROR(INDEX(Barneveld!$H$4:$H$36,MATCH($A191,Barneveld!$C$4:$C$36,0)),0))</f>
        <v>0</v>
      </c>
      <c r="F191" s="24" t="str">
        <f>IF($A191="","",IFERROR(INDEX(Baarn!$A$4:$A$38,MATCH($A191,Baarn!$C$4:$C$38,0)),""))</f>
        <v/>
      </c>
      <c r="G191" s="15">
        <f>IF($A191="",0,IFERROR(INDEX(Baarn!$I$4:$I$38,MATCH($A191,Baarn!$C$4:$C$38,0)),0))</f>
        <v>0</v>
      </c>
      <c r="H191" s="24" t="str">
        <f>IF($A191="","",IFERROR(INDEX(Scherpenzeel!$A$4:$A$103,MATCH($A191,Scherpenzeel!$C$4:$C$103,0)),""))</f>
        <v/>
      </c>
      <c r="I191" s="15">
        <f>IF($A191="",0,IFERROR(INDEX(Scherpenzeel!$I$4:$I$103,MATCH($A191,Scherpenzeel!$C$4:$C$103,0)),0))</f>
        <v>0</v>
      </c>
      <c r="J191" s="24" t="str">
        <f>IF($A191="","",IFERROR(INDEX('4'!$A$4:$A$103,MATCH($A191,'4'!$C$4:$C$103,0)),""))</f>
        <v/>
      </c>
      <c r="K191" s="15">
        <f>IF($A191="",0,IFERROR(INDEX('4'!$I$4:$I$103,MATCH($A191,'4'!$C$4:$C$103,0)),0))</f>
        <v>0</v>
      </c>
      <c r="L191" s="24" t="str">
        <f>IF($A191="","",IFERROR(INDEX('5'!$A$4:$A$103,MATCH($A191,'5'!$C$4:$C$103,0)),""))</f>
        <v/>
      </c>
      <c r="M191" s="15">
        <f>IF($A191="",0,IFERROR(INDEX('5'!$I$4:$I$103,MATCH($A191,'5'!$C$4:$C$103,0)),0))</f>
        <v>0</v>
      </c>
      <c r="N191" s="25" t="str">
        <f t="shared" si="10"/>
        <v/>
      </c>
      <c r="O191" s="26" t="str">
        <f t="shared" si="11"/>
        <v/>
      </c>
      <c r="AA191" t="str">
        <f>IF(ISNUMBER(SEARCH("Junior",'4'!E26)),'4'!C26,"")</f>
        <v/>
      </c>
      <c r="AB191">
        <f>IF(AA191="",0,IF(COUNTIF($AA$1:AA191,AA191)=1,1,0))</f>
        <v>0</v>
      </c>
      <c r="AC191" t="str">
        <f>IF(AB191=1,COUNTIF($AB$1:AB191,1),"")</f>
        <v/>
      </c>
    </row>
    <row r="192" spans="1:29" x14ac:dyDescent="0.25">
      <c r="A192" s="13" t="str">
        <f>IFERROR(INDEX($AA$1:$AA$368,MATCH(189,$AC$1:$AC$368,0)),"")</f>
        <v/>
      </c>
      <c r="B192" s="13" t="str">
        <f>IF($A192="","",IF(IFERROR(INDEX(Barneveld!$E$4:$E$36,MATCH($A192,Barneveld!$C$4:$C$36,0)),"")&lt;&gt;"",IFERROR(INDEX(Barneveld!$E$4:$E$36,MATCH($A192,Barneveld!$C$4:$C$36,0)),""),IF(IFERROR(INDEX(Baarn!$F$4:$F$38,MATCH($A192,Baarn!$C$4:$C$38,0)),"")&lt;&gt;"",IFERROR(INDEX(Baarn!$F$4:$F$38,MATCH($A192,Baarn!$C$4:$C$38,0)),""),IF(IFERROR(INDEX(Scherpenzeel!$F$4:$F$103,MATCH($A192,Scherpenzeel!$C$4:$C$103,0)),"")&lt;&gt;"",IFERROR(INDEX(Scherpenzeel!$F$4:$F$103,MATCH($A192,Scherpenzeel!$C$4:$C$103,0)),""),IF(IFERROR(INDEX('4'!$F$4:$F$103,MATCH($A192,'4'!$C$4:$C$103,0)),"")&lt;&gt;"",IFERROR(INDEX('4'!$F$4:$F$103,MATCH($A192,'4'!$C$4:$C$103,0)),""),IFERROR(INDEX('5'!$F$4:$F$103,MATCH($A192,'5'!$C$4:$C$103,0)),""))))))</f>
        <v/>
      </c>
      <c r="C192" s="13" t="str">
        <f>IF($A192="","",IF(IFERROR(INDEX(Barneveld!$D$4:$D$36,MATCH($A192,Barneveld!$C$4:$C$36,0)),"")&lt;&gt;"",IFERROR(INDEX(Barneveld!$D$4:$D$36,MATCH($A192,Barneveld!$C$4:$C$36,0)),""),IF(IFERROR(INDEX(Baarn!$E$4:$E$38,MATCH($A192,Baarn!$C$4:$C$38,0)),"")&lt;&gt;"",IFERROR(INDEX(Baarn!$E$4:$E$38,MATCH($A192,Baarn!$C$4:$C$38,0)),""),IF(IFERROR(INDEX(Scherpenzeel!$E$4:$E$103,MATCH($A192,Scherpenzeel!$C$4:$C$103,0)),"")&lt;&gt;"",IFERROR(INDEX(Scherpenzeel!$E$4:$E$103,MATCH($A192,Scherpenzeel!$C$4:$C$103,0)),""),IF(IFERROR(INDEX('4'!$E$4:$E$103,MATCH($A192,'4'!$C$4:$C$103,0)),"")&lt;&gt;"",IFERROR(INDEX('4'!$E$4:$E$103,MATCH($A192,'4'!$C$4:$C$103,0)),""),IFERROR(INDEX('5'!$E$4:$E$103,MATCH($A192,'5'!$C$4:$C$103,0)),""))))))</f>
        <v/>
      </c>
      <c r="D192" s="24" t="str">
        <f>IF($A192="","",IFERROR(INDEX(Barneveld!$A$4:$A$36,MATCH($A192,Barneveld!$C$4:$C$36,0)),""))</f>
        <v/>
      </c>
      <c r="E192" s="15">
        <f>IF($A192="",0,IFERROR(INDEX(Barneveld!$H$4:$H$36,MATCH($A192,Barneveld!$C$4:$C$36,0)),0))</f>
        <v>0</v>
      </c>
      <c r="F192" s="24" t="str">
        <f>IF($A192="","",IFERROR(INDEX(Baarn!$A$4:$A$38,MATCH($A192,Baarn!$C$4:$C$38,0)),""))</f>
        <v/>
      </c>
      <c r="G192" s="15">
        <f>IF($A192="",0,IFERROR(INDEX(Baarn!$I$4:$I$38,MATCH($A192,Baarn!$C$4:$C$38,0)),0))</f>
        <v>0</v>
      </c>
      <c r="H192" s="24" t="str">
        <f>IF($A192="","",IFERROR(INDEX(Scherpenzeel!$A$4:$A$103,MATCH($A192,Scherpenzeel!$C$4:$C$103,0)),""))</f>
        <v/>
      </c>
      <c r="I192" s="15">
        <f>IF($A192="",0,IFERROR(INDEX(Scherpenzeel!$I$4:$I$103,MATCH($A192,Scherpenzeel!$C$4:$C$103,0)),0))</f>
        <v>0</v>
      </c>
      <c r="J192" s="24" t="str">
        <f>IF($A192="","",IFERROR(INDEX('4'!$A$4:$A$103,MATCH($A192,'4'!$C$4:$C$103,0)),""))</f>
        <v/>
      </c>
      <c r="K192" s="15">
        <f>IF($A192="",0,IFERROR(INDEX('4'!$I$4:$I$103,MATCH($A192,'4'!$C$4:$C$103,0)),0))</f>
        <v>0</v>
      </c>
      <c r="L192" s="24" t="str">
        <f>IF($A192="","",IFERROR(INDEX('5'!$A$4:$A$103,MATCH($A192,'5'!$C$4:$C$103,0)),""))</f>
        <v/>
      </c>
      <c r="M192" s="15">
        <f>IF($A192="",0,IFERROR(INDEX('5'!$I$4:$I$103,MATCH($A192,'5'!$C$4:$C$103,0)),0))</f>
        <v>0</v>
      </c>
      <c r="N192" s="25" t="str">
        <f t="shared" si="10"/>
        <v/>
      </c>
      <c r="O192" s="26" t="str">
        <f t="shared" si="11"/>
        <v/>
      </c>
      <c r="AA192" t="str">
        <f>IF(ISNUMBER(SEARCH("Junior",'4'!E27)),'4'!C27,"")</f>
        <v/>
      </c>
      <c r="AB192">
        <f>IF(AA192="",0,IF(COUNTIF($AA$1:AA192,AA192)=1,1,0))</f>
        <v>0</v>
      </c>
      <c r="AC192" t="str">
        <f>IF(AB192=1,COUNTIF($AB$1:AB192,1),"")</f>
        <v/>
      </c>
    </row>
    <row r="193" spans="1:29" x14ac:dyDescent="0.25">
      <c r="A193" s="13" t="str">
        <f>IFERROR(INDEX($AA$1:$AA$368,MATCH(190,$AC$1:$AC$368,0)),"")</f>
        <v/>
      </c>
      <c r="B193" s="13" t="str">
        <f>IF($A193="","",IF(IFERROR(INDEX(Barneveld!$E$4:$E$36,MATCH($A193,Barneveld!$C$4:$C$36,0)),"")&lt;&gt;"",IFERROR(INDEX(Barneveld!$E$4:$E$36,MATCH($A193,Barneveld!$C$4:$C$36,0)),""),IF(IFERROR(INDEX(Baarn!$F$4:$F$38,MATCH($A193,Baarn!$C$4:$C$38,0)),"")&lt;&gt;"",IFERROR(INDEX(Baarn!$F$4:$F$38,MATCH($A193,Baarn!$C$4:$C$38,0)),""),IF(IFERROR(INDEX(Scherpenzeel!$F$4:$F$103,MATCH($A193,Scherpenzeel!$C$4:$C$103,0)),"")&lt;&gt;"",IFERROR(INDEX(Scherpenzeel!$F$4:$F$103,MATCH($A193,Scherpenzeel!$C$4:$C$103,0)),""),IF(IFERROR(INDEX('4'!$F$4:$F$103,MATCH($A193,'4'!$C$4:$C$103,0)),"")&lt;&gt;"",IFERROR(INDEX('4'!$F$4:$F$103,MATCH($A193,'4'!$C$4:$C$103,0)),""),IFERROR(INDEX('5'!$F$4:$F$103,MATCH($A193,'5'!$C$4:$C$103,0)),""))))))</f>
        <v/>
      </c>
      <c r="C193" s="13" t="str">
        <f>IF($A193="","",IF(IFERROR(INDEX(Barneveld!$D$4:$D$36,MATCH($A193,Barneveld!$C$4:$C$36,0)),"")&lt;&gt;"",IFERROR(INDEX(Barneveld!$D$4:$D$36,MATCH($A193,Barneveld!$C$4:$C$36,0)),""),IF(IFERROR(INDEX(Baarn!$E$4:$E$38,MATCH($A193,Baarn!$C$4:$C$38,0)),"")&lt;&gt;"",IFERROR(INDEX(Baarn!$E$4:$E$38,MATCH($A193,Baarn!$C$4:$C$38,0)),""),IF(IFERROR(INDEX(Scherpenzeel!$E$4:$E$103,MATCH($A193,Scherpenzeel!$C$4:$C$103,0)),"")&lt;&gt;"",IFERROR(INDEX(Scherpenzeel!$E$4:$E$103,MATCH($A193,Scherpenzeel!$C$4:$C$103,0)),""),IF(IFERROR(INDEX('4'!$E$4:$E$103,MATCH($A193,'4'!$C$4:$C$103,0)),"")&lt;&gt;"",IFERROR(INDEX('4'!$E$4:$E$103,MATCH($A193,'4'!$C$4:$C$103,0)),""),IFERROR(INDEX('5'!$E$4:$E$103,MATCH($A193,'5'!$C$4:$C$103,0)),""))))))</f>
        <v/>
      </c>
      <c r="D193" s="24" t="str">
        <f>IF($A193="","",IFERROR(INDEX(Barneveld!$A$4:$A$36,MATCH($A193,Barneveld!$C$4:$C$36,0)),""))</f>
        <v/>
      </c>
      <c r="E193" s="15">
        <f>IF($A193="",0,IFERROR(INDEX(Barneveld!$H$4:$H$36,MATCH($A193,Barneveld!$C$4:$C$36,0)),0))</f>
        <v>0</v>
      </c>
      <c r="F193" s="24" t="str">
        <f>IF($A193="","",IFERROR(INDEX(Baarn!$A$4:$A$38,MATCH($A193,Baarn!$C$4:$C$38,0)),""))</f>
        <v/>
      </c>
      <c r="G193" s="15">
        <f>IF($A193="",0,IFERROR(INDEX(Baarn!$I$4:$I$38,MATCH($A193,Baarn!$C$4:$C$38,0)),0))</f>
        <v>0</v>
      </c>
      <c r="H193" s="24" t="str">
        <f>IF($A193="","",IFERROR(INDEX(Scherpenzeel!$A$4:$A$103,MATCH($A193,Scherpenzeel!$C$4:$C$103,0)),""))</f>
        <v/>
      </c>
      <c r="I193" s="15">
        <f>IF($A193="",0,IFERROR(INDEX(Scherpenzeel!$I$4:$I$103,MATCH($A193,Scherpenzeel!$C$4:$C$103,0)),0))</f>
        <v>0</v>
      </c>
      <c r="J193" s="24" t="str">
        <f>IF($A193="","",IFERROR(INDEX('4'!$A$4:$A$103,MATCH($A193,'4'!$C$4:$C$103,0)),""))</f>
        <v/>
      </c>
      <c r="K193" s="15">
        <f>IF($A193="",0,IFERROR(INDEX('4'!$I$4:$I$103,MATCH($A193,'4'!$C$4:$C$103,0)),0))</f>
        <v>0</v>
      </c>
      <c r="L193" s="24" t="str">
        <f>IF($A193="","",IFERROR(INDEX('5'!$A$4:$A$103,MATCH($A193,'5'!$C$4:$C$103,0)),""))</f>
        <v/>
      </c>
      <c r="M193" s="15">
        <f>IF($A193="",0,IFERROR(INDEX('5'!$I$4:$I$103,MATCH($A193,'5'!$C$4:$C$103,0)),0))</f>
        <v>0</v>
      </c>
      <c r="N193" s="25" t="str">
        <f t="shared" si="10"/>
        <v/>
      </c>
      <c r="O193" s="26" t="str">
        <f t="shared" si="11"/>
        <v/>
      </c>
      <c r="AA193" t="str">
        <f>IF(ISNUMBER(SEARCH("Junior",'4'!E28)),'4'!C28,"")</f>
        <v/>
      </c>
      <c r="AB193">
        <f>IF(AA193="",0,IF(COUNTIF($AA$1:AA193,AA193)=1,1,0))</f>
        <v>0</v>
      </c>
      <c r="AC193" t="str">
        <f>IF(AB193=1,COUNTIF($AB$1:AB193,1),"")</f>
        <v/>
      </c>
    </row>
    <row r="194" spans="1:29" x14ac:dyDescent="0.25">
      <c r="A194" s="13" t="str">
        <f>IFERROR(INDEX($AA$1:$AA$368,MATCH(191,$AC$1:$AC$368,0)),"")</f>
        <v/>
      </c>
      <c r="B194" s="13" t="str">
        <f>IF($A194="","",IF(IFERROR(INDEX(Barneveld!$E$4:$E$36,MATCH($A194,Barneveld!$C$4:$C$36,0)),"")&lt;&gt;"",IFERROR(INDEX(Barneveld!$E$4:$E$36,MATCH($A194,Barneveld!$C$4:$C$36,0)),""),IF(IFERROR(INDEX(Baarn!$F$4:$F$38,MATCH($A194,Baarn!$C$4:$C$38,0)),"")&lt;&gt;"",IFERROR(INDEX(Baarn!$F$4:$F$38,MATCH($A194,Baarn!$C$4:$C$38,0)),""),IF(IFERROR(INDEX(Scherpenzeel!$F$4:$F$103,MATCH($A194,Scherpenzeel!$C$4:$C$103,0)),"")&lt;&gt;"",IFERROR(INDEX(Scherpenzeel!$F$4:$F$103,MATCH($A194,Scherpenzeel!$C$4:$C$103,0)),""),IF(IFERROR(INDEX('4'!$F$4:$F$103,MATCH($A194,'4'!$C$4:$C$103,0)),"")&lt;&gt;"",IFERROR(INDEX('4'!$F$4:$F$103,MATCH($A194,'4'!$C$4:$C$103,0)),""),IFERROR(INDEX('5'!$F$4:$F$103,MATCH($A194,'5'!$C$4:$C$103,0)),""))))))</f>
        <v/>
      </c>
      <c r="C194" s="13" t="str">
        <f>IF($A194="","",IF(IFERROR(INDEX(Barneveld!$D$4:$D$36,MATCH($A194,Barneveld!$C$4:$C$36,0)),"")&lt;&gt;"",IFERROR(INDEX(Barneveld!$D$4:$D$36,MATCH($A194,Barneveld!$C$4:$C$36,0)),""),IF(IFERROR(INDEX(Baarn!$E$4:$E$38,MATCH($A194,Baarn!$C$4:$C$38,0)),"")&lt;&gt;"",IFERROR(INDEX(Baarn!$E$4:$E$38,MATCH($A194,Baarn!$C$4:$C$38,0)),""),IF(IFERROR(INDEX(Scherpenzeel!$E$4:$E$103,MATCH($A194,Scherpenzeel!$C$4:$C$103,0)),"")&lt;&gt;"",IFERROR(INDEX(Scherpenzeel!$E$4:$E$103,MATCH($A194,Scherpenzeel!$C$4:$C$103,0)),""),IF(IFERROR(INDEX('4'!$E$4:$E$103,MATCH($A194,'4'!$C$4:$C$103,0)),"")&lt;&gt;"",IFERROR(INDEX('4'!$E$4:$E$103,MATCH($A194,'4'!$C$4:$C$103,0)),""),IFERROR(INDEX('5'!$E$4:$E$103,MATCH($A194,'5'!$C$4:$C$103,0)),""))))))</f>
        <v/>
      </c>
      <c r="D194" s="24" t="str">
        <f>IF($A194="","",IFERROR(INDEX(Barneveld!$A$4:$A$36,MATCH($A194,Barneveld!$C$4:$C$36,0)),""))</f>
        <v/>
      </c>
      <c r="E194" s="15">
        <f>IF($A194="",0,IFERROR(INDEX(Barneveld!$H$4:$H$36,MATCH($A194,Barneveld!$C$4:$C$36,0)),0))</f>
        <v>0</v>
      </c>
      <c r="F194" s="24" t="str">
        <f>IF($A194="","",IFERROR(INDEX(Baarn!$A$4:$A$38,MATCH($A194,Baarn!$C$4:$C$38,0)),""))</f>
        <v/>
      </c>
      <c r="G194" s="15">
        <f>IF($A194="",0,IFERROR(INDEX(Baarn!$I$4:$I$38,MATCH($A194,Baarn!$C$4:$C$38,0)),0))</f>
        <v>0</v>
      </c>
      <c r="H194" s="24" t="str">
        <f>IF($A194="","",IFERROR(INDEX(Scherpenzeel!$A$4:$A$103,MATCH($A194,Scherpenzeel!$C$4:$C$103,0)),""))</f>
        <v/>
      </c>
      <c r="I194" s="15">
        <f>IF($A194="",0,IFERROR(INDEX(Scherpenzeel!$I$4:$I$103,MATCH($A194,Scherpenzeel!$C$4:$C$103,0)),0))</f>
        <v>0</v>
      </c>
      <c r="J194" s="24" t="str">
        <f>IF($A194="","",IFERROR(INDEX('4'!$A$4:$A$103,MATCH($A194,'4'!$C$4:$C$103,0)),""))</f>
        <v/>
      </c>
      <c r="K194" s="15">
        <f>IF($A194="",0,IFERROR(INDEX('4'!$I$4:$I$103,MATCH($A194,'4'!$C$4:$C$103,0)),0))</f>
        <v>0</v>
      </c>
      <c r="L194" s="24" t="str">
        <f>IF($A194="","",IFERROR(INDEX('5'!$A$4:$A$103,MATCH($A194,'5'!$C$4:$C$103,0)),""))</f>
        <v/>
      </c>
      <c r="M194" s="15">
        <f>IF($A194="",0,IFERROR(INDEX('5'!$I$4:$I$103,MATCH($A194,'5'!$C$4:$C$103,0)),0))</f>
        <v>0</v>
      </c>
      <c r="N194" s="25" t="str">
        <f t="shared" si="10"/>
        <v/>
      </c>
      <c r="O194" s="26" t="str">
        <f t="shared" si="11"/>
        <v/>
      </c>
      <c r="AA194" t="str">
        <f>IF(ISNUMBER(SEARCH("Junior",'4'!E29)),'4'!C29,"")</f>
        <v/>
      </c>
      <c r="AB194">
        <f>IF(AA194="",0,IF(COUNTIF($AA$1:AA194,AA194)=1,1,0))</f>
        <v>0</v>
      </c>
      <c r="AC194" t="str">
        <f>IF(AB194=1,COUNTIF($AB$1:AB194,1),"")</f>
        <v/>
      </c>
    </row>
    <row r="195" spans="1:29" x14ac:dyDescent="0.25">
      <c r="A195" s="13" t="str">
        <f>IFERROR(INDEX($AA$1:$AA$368,MATCH(192,$AC$1:$AC$368,0)),"")</f>
        <v/>
      </c>
      <c r="B195" s="13" t="str">
        <f>IF($A195="","",IF(IFERROR(INDEX(Barneveld!$E$4:$E$36,MATCH($A195,Barneveld!$C$4:$C$36,0)),"")&lt;&gt;"",IFERROR(INDEX(Barneveld!$E$4:$E$36,MATCH($A195,Barneveld!$C$4:$C$36,0)),""),IF(IFERROR(INDEX(Baarn!$F$4:$F$38,MATCH($A195,Baarn!$C$4:$C$38,0)),"")&lt;&gt;"",IFERROR(INDEX(Baarn!$F$4:$F$38,MATCH($A195,Baarn!$C$4:$C$38,0)),""),IF(IFERROR(INDEX(Scherpenzeel!$F$4:$F$103,MATCH($A195,Scherpenzeel!$C$4:$C$103,0)),"")&lt;&gt;"",IFERROR(INDEX(Scherpenzeel!$F$4:$F$103,MATCH($A195,Scherpenzeel!$C$4:$C$103,0)),""),IF(IFERROR(INDEX('4'!$F$4:$F$103,MATCH($A195,'4'!$C$4:$C$103,0)),"")&lt;&gt;"",IFERROR(INDEX('4'!$F$4:$F$103,MATCH($A195,'4'!$C$4:$C$103,0)),""),IFERROR(INDEX('5'!$F$4:$F$103,MATCH($A195,'5'!$C$4:$C$103,0)),""))))))</f>
        <v/>
      </c>
      <c r="C195" s="13" t="str">
        <f>IF($A195="","",IF(IFERROR(INDEX(Barneveld!$D$4:$D$36,MATCH($A195,Barneveld!$C$4:$C$36,0)),"")&lt;&gt;"",IFERROR(INDEX(Barneveld!$D$4:$D$36,MATCH($A195,Barneveld!$C$4:$C$36,0)),""),IF(IFERROR(INDEX(Baarn!$E$4:$E$38,MATCH($A195,Baarn!$C$4:$C$38,0)),"")&lt;&gt;"",IFERROR(INDEX(Baarn!$E$4:$E$38,MATCH($A195,Baarn!$C$4:$C$38,0)),""),IF(IFERROR(INDEX(Scherpenzeel!$E$4:$E$103,MATCH($A195,Scherpenzeel!$C$4:$C$103,0)),"")&lt;&gt;"",IFERROR(INDEX(Scherpenzeel!$E$4:$E$103,MATCH($A195,Scherpenzeel!$C$4:$C$103,0)),""),IF(IFERROR(INDEX('4'!$E$4:$E$103,MATCH($A195,'4'!$C$4:$C$103,0)),"")&lt;&gt;"",IFERROR(INDEX('4'!$E$4:$E$103,MATCH($A195,'4'!$C$4:$C$103,0)),""),IFERROR(INDEX('5'!$E$4:$E$103,MATCH($A195,'5'!$C$4:$C$103,0)),""))))))</f>
        <v/>
      </c>
      <c r="D195" s="24" t="str">
        <f>IF($A195="","",IFERROR(INDEX(Barneveld!$A$4:$A$36,MATCH($A195,Barneveld!$C$4:$C$36,0)),""))</f>
        <v/>
      </c>
      <c r="E195" s="15">
        <f>IF($A195="",0,IFERROR(INDEX(Barneveld!$H$4:$H$36,MATCH($A195,Barneveld!$C$4:$C$36,0)),0))</f>
        <v>0</v>
      </c>
      <c r="F195" s="24" t="str">
        <f>IF($A195="","",IFERROR(INDEX(Baarn!$A$4:$A$38,MATCH($A195,Baarn!$C$4:$C$38,0)),""))</f>
        <v/>
      </c>
      <c r="G195" s="15">
        <f>IF($A195="",0,IFERROR(INDEX(Baarn!$I$4:$I$38,MATCH($A195,Baarn!$C$4:$C$38,0)),0))</f>
        <v>0</v>
      </c>
      <c r="H195" s="24" t="str">
        <f>IF($A195="","",IFERROR(INDEX(Scherpenzeel!$A$4:$A$103,MATCH($A195,Scherpenzeel!$C$4:$C$103,0)),""))</f>
        <v/>
      </c>
      <c r="I195" s="15">
        <f>IF($A195="",0,IFERROR(INDEX(Scherpenzeel!$I$4:$I$103,MATCH($A195,Scherpenzeel!$C$4:$C$103,0)),0))</f>
        <v>0</v>
      </c>
      <c r="J195" s="24" t="str">
        <f>IF($A195="","",IFERROR(INDEX('4'!$A$4:$A$103,MATCH($A195,'4'!$C$4:$C$103,0)),""))</f>
        <v/>
      </c>
      <c r="K195" s="15">
        <f>IF($A195="",0,IFERROR(INDEX('4'!$I$4:$I$103,MATCH($A195,'4'!$C$4:$C$103,0)),0))</f>
        <v>0</v>
      </c>
      <c r="L195" s="24" t="str">
        <f>IF($A195="","",IFERROR(INDEX('5'!$A$4:$A$103,MATCH($A195,'5'!$C$4:$C$103,0)),""))</f>
        <v/>
      </c>
      <c r="M195" s="15">
        <f>IF($A195="",0,IFERROR(INDEX('5'!$I$4:$I$103,MATCH($A195,'5'!$C$4:$C$103,0)),0))</f>
        <v>0</v>
      </c>
      <c r="N195" s="25" t="str">
        <f t="shared" si="10"/>
        <v/>
      </c>
      <c r="O195" s="26" t="str">
        <f t="shared" si="11"/>
        <v/>
      </c>
      <c r="AA195" t="str">
        <f>IF(ISNUMBER(SEARCH("Junior",'4'!E30)),'4'!C30,"")</f>
        <v/>
      </c>
      <c r="AB195">
        <f>IF(AA195="",0,IF(COUNTIF($AA$1:AA195,AA195)=1,1,0))</f>
        <v>0</v>
      </c>
      <c r="AC195" t="str">
        <f>IF(AB195=1,COUNTIF($AB$1:AB195,1),"")</f>
        <v/>
      </c>
    </row>
    <row r="196" spans="1:29" x14ac:dyDescent="0.25">
      <c r="A196" s="13" t="str">
        <f>IFERROR(INDEX($AA$1:$AA$368,MATCH(193,$AC$1:$AC$368,0)),"")</f>
        <v/>
      </c>
      <c r="B196" s="13" t="str">
        <f>IF($A196="","",IF(IFERROR(INDEX(Barneveld!$E$4:$E$36,MATCH($A196,Barneveld!$C$4:$C$36,0)),"")&lt;&gt;"",IFERROR(INDEX(Barneveld!$E$4:$E$36,MATCH($A196,Barneveld!$C$4:$C$36,0)),""),IF(IFERROR(INDEX(Baarn!$F$4:$F$38,MATCH($A196,Baarn!$C$4:$C$38,0)),"")&lt;&gt;"",IFERROR(INDEX(Baarn!$F$4:$F$38,MATCH($A196,Baarn!$C$4:$C$38,0)),""),IF(IFERROR(INDEX(Scherpenzeel!$F$4:$F$103,MATCH($A196,Scherpenzeel!$C$4:$C$103,0)),"")&lt;&gt;"",IFERROR(INDEX(Scherpenzeel!$F$4:$F$103,MATCH($A196,Scherpenzeel!$C$4:$C$103,0)),""),IF(IFERROR(INDEX('4'!$F$4:$F$103,MATCH($A196,'4'!$C$4:$C$103,0)),"")&lt;&gt;"",IFERROR(INDEX('4'!$F$4:$F$103,MATCH($A196,'4'!$C$4:$C$103,0)),""),IFERROR(INDEX('5'!$F$4:$F$103,MATCH($A196,'5'!$C$4:$C$103,0)),""))))))</f>
        <v/>
      </c>
      <c r="C196" s="13" t="str">
        <f>IF($A196="","",IF(IFERROR(INDEX(Barneveld!$D$4:$D$36,MATCH($A196,Barneveld!$C$4:$C$36,0)),"")&lt;&gt;"",IFERROR(INDEX(Barneveld!$D$4:$D$36,MATCH($A196,Barneveld!$C$4:$C$36,0)),""),IF(IFERROR(INDEX(Baarn!$E$4:$E$38,MATCH($A196,Baarn!$C$4:$C$38,0)),"")&lt;&gt;"",IFERROR(INDEX(Baarn!$E$4:$E$38,MATCH($A196,Baarn!$C$4:$C$38,0)),""),IF(IFERROR(INDEX(Scherpenzeel!$E$4:$E$103,MATCH($A196,Scherpenzeel!$C$4:$C$103,0)),"")&lt;&gt;"",IFERROR(INDEX(Scherpenzeel!$E$4:$E$103,MATCH($A196,Scherpenzeel!$C$4:$C$103,0)),""),IF(IFERROR(INDEX('4'!$E$4:$E$103,MATCH($A196,'4'!$C$4:$C$103,0)),"")&lt;&gt;"",IFERROR(INDEX('4'!$E$4:$E$103,MATCH($A196,'4'!$C$4:$C$103,0)),""),IFERROR(INDEX('5'!$E$4:$E$103,MATCH($A196,'5'!$C$4:$C$103,0)),""))))))</f>
        <v/>
      </c>
      <c r="D196" s="24" t="str">
        <f>IF($A196="","",IFERROR(INDEX(Barneveld!$A$4:$A$36,MATCH($A196,Barneveld!$C$4:$C$36,0)),""))</f>
        <v/>
      </c>
      <c r="E196" s="15">
        <f>IF($A196="",0,IFERROR(INDEX(Barneveld!$H$4:$H$36,MATCH($A196,Barneveld!$C$4:$C$36,0)),0))</f>
        <v>0</v>
      </c>
      <c r="F196" s="24" t="str">
        <f>IF($A196="","",IFERROR(INDEX(Baarn!$A$4:$A$38,MATCH($A196,Baarn!$C$4:$C$38,0)),""))</f>
        <v/>
      </c>
      <c r="G196" s="15">
        <f>IF($A196="",0,IFERROR(INDEX(Baarn!$I$4:$I$38,MATCH($A196,Baarn!$C$4:$C$38,0)),0))</f>
        <v>0</v>
      </c>
      <c r="H196" s="24" t="str">
        <f>IF($A196="","",IFERROR(INDEX(Scherpenzeel!$A$4:$A$103,MATCH($A196,Scherpenzeel!$C$4:$C$103,0)),""))</f>
        <v/>
      </c>
      <c r="I196" s="15">
        <f>IF($A196="",0,IFERROR(INDEX(Scherpenzeel!$I$4:$I$103,MATCH($A196,Scherpenzeel!$C$4:$C$103,0)),0))</f>
        <v>0</v>
      </c>
      <c r="J196" s="24" t="str">
        <f>IF($A196="","",IFERROR(INDEX('4'!$A$4:$A$103,MATCH($A196,'4'!$C$4:$C$103,0)),""))</f>
        <v/>
      </c>
      <c r="K196" s="15">
        <f>IF($A196="",0,IFERROR(INDEX('4'!$I$4:$I$103,MATCH($A196,'4'!$C$4:$C$103,0)),0))</f>
        <v>0</v>
      </c>
      <c r="L196" s="24" t="str">
        <f>IF($A196="","",IFERROR(INDEX('5'!$A$4:$A$103,MATCH($A196,'5'!$C$4:$C$103,0)),""))</f>
        <v/>
      </c>
      <c r="M196" s="15">
        <f>IF($A196="",0,IFERROR(INDEX('5'!$I$4:$I$103,MATCH($A196,'5'!$C$4:$C$103,0)),0))</f>
        <v>0</v>
      </c>
      <c r="N196" s="25" t="str">
        <f t="shared" ref="N196:N227" si="12">IF($A196="","",E196+G196+I196+K196+M196)</f>
        <v/>
      </c>
      <c r="O196" s="26" t="str">
        <f t="shared" ref="O196:O227" si="13">IF(OR($A196="",N196="",N196=0),"",RANK(N196,$N$4:$N$203,0))</f>
        <v/>
      </c>
      <c r="AA196" t="str">
        <f>IF(ISNUMBER(SEARCH("Junior",'4'!E31)),'4'!C31,"")</f>
        <v/>
      </c>
      <c r="AB196">
        <f>IF(AA196="",0,IF(COUNTIF($AA$1:AA196,AA196)=1,1,0))</f>
        <v>0</v>
      </c>
      <c r="AC196" t="str">
        <f>IF(AB196=1,COUNTIF($AB$1:AB196,1),"")</f>
        <v/>
      </c>
    </row>
    <row r="197" spans="1:29" x14ac:dyDescent="0.25">
      <c r="A197" s="13" t="str">
        <f>IFERROR(INDEX($AA$1:$AA$368,MATCH(194,$AC$1:$AC$368,0)),"")</f>
        <v/>
      </c>
      <c r="B197" s="13" t="str">
        <f>IF($A197="","",IF(IFERROR(INDEX(Barneveld!$E$4:$E$36,MATCH($A197,Barneveld!$C$4:$C$36,0)),"")&lt;&gt;"",IFERROR(INDEX(Barneveld!$E$4:$E$36,MATCH($A197,Barneveld!$C$4:$C$36,0)),""),IF(IFERROR(INDEX(Baarn!$F$4:$F$38,MATCH($A197,Baarn!$C$4:$C$38,0)),"")&lt;&gt;"",IFERROR(INDEX(Baarn!$F$4:$F$38,MATCH($A197,Baarn!$C$4:$C$38,0)),""),IF(IFERROR(INDEX(Scherpenzeel!$F$4:$F$103,MATCH($A197,Scherpenzeel!$C$4:$C$103,0)),"")&lt;&gt;"",IFERROR(INDEX(Scherpenzeel!$F$4:$F$103,MATCH($A197,Scherpenzeel!$C$4:$C$103,0)),""),IF(IFERROR(INDEX('4'!$F$4:$F$103,MATCH($A197,'4'!$C$4:$C$103,0)),"")&lt;&gt;"",IFERROR(INDEX('4'!$F$4:$F$103,MATCH($A197,'4'!$C$4:$C$103,0)),""),IFERROR(INDEX('5'!$F$4:$F$103,MATCH($A197,'5'!$C$4:$C$103,0)),""))))))</f>
        <v/>
      </c>
      <c r="C197" s="13" t="str">
        <f>IF($A197="","",IF(IFERROR(INDEX(Barneveld!$D$4:$D$36,MATCH($A197,Barneveld!$C$4:$C$36,0)),"")&lt;&gt;"",IFERROR(INDEX(Barneveld!$D$4:$D$36,MATCH($A197,Barneveld!$C$4:$C$36,0)),""),IF(IFERROR(INDEX(Baarn!$E$4:$E$38,MATCH($A197,Baarn!$C$4:$C$38,0)),"")&lt;&gt;"",IFERROR(INDEX(Baarn!$E$4:$E$38,MATCH($A197,Baarn!$C$4:$C$38,0)),""),IF(IFERROR(INDEX(Scherpenzeel!$E$4:$E$103,MATCH($A197,Scherpenzeel!$C$4:$C$103,0)),"")&lt;&gt;"",IFERROR(INDEX(Scherpenzeel!$E$4:$E$103,MATCH($A197,Scherpenzeel!$C$4:$C$103,0)),""),IF(IFERROR(INDEX('4'!$E$4:$E$103,MATCH($A197,'4'!$C$4:$C$103,0)),"")&lt;&gt;"",IFERROR(INDEX('4'!$E$4:$E$103,MATCH($A197,'4'!$C$4:$C$103,0)),""),IFERROR(INDEX('5'!$E$4:$E$103,MATCH($A197,'5'!$C$4:$C$103,0)),""))))))</f>
        <v/>
      </c>
      <c r="D197" s="24" t="str">
        <f>IF($A197="","",IFERROR(INDEX(Barneveld!$A$4:$A$36,MATCH($A197,Barneveld!$C$4:$C$36,0)),""))</f>
        <v/>
      </c>
      <c r="E197" s="15">
        <f>IF($A197="",0,IFERROR(INDEX(Barneveld!$H$4:$H$36,MATCH($A197,Barneveld!$C$4:$C$36,0)),0))</f>
        <v>0</v>
      </c>
      <c r="F197" s="24" t="str">
        <f>IF($A197="","",IFERROR(INDEX(Baarn!$A$4:$A$38,MATCH($A197,Baarn!$C$4:$C$38,0)),""))</f>
        <v/>
      </c>
      <c r="G197" s="15">
        <f>IF($A197="",0,IFERROR(INDEX(Baarn!$I$4:$I$38,MATCH($A197,Baarn!$C$4:$C$38,0)),0))</f>
        <v>0</v>
      </c>
      <c r="H197" s="24" t="str">
        <f>IF($A197="","",IFERROR(INDEX(Scherpenzeel!$A$4:$A$103,MATCH($A197,Scherpenzeel!$C$4:$C$103,0)),""))</f>
        <v/>
      </c>
      <c r="I197" s="15">
        <f>IF($A197="",0,IFERROR(INDEX(Scherpenzeel!$I$4:$I$103,MATCH($A197,Scherpenzeel!$C$4:$C$103,0)),0))</f>
        <v>0</v>
      </c>
      <c r="J197" s="24" t="str">
        <f>IF($A197="","",IFERROR(INDEX('4'!$A$4:$A$103,MATCH($A197,'4'!$C$4:$C$103,0)),""))</f>
        <v/>
      </c>
      <c r="K197" s="15">
        <f>IF($A197="",0,IFERROR(INDEX('4'!$I$4:$I$103,MATCH($A197,'4'!$C$4:$C$103,0)),0))</f>
        <v>0</v>
      </c>
      <c r="L197" s="24" t="str">
        <f>IF($A197="","",IFERROR(INDEX('5'!$A$4:$A$103,MATCH($A197,'5'!$C$4:$C$103,0)),""))</f>
        <v/>
      </c>
      <c r="M197" s="15">
        <f>IF($A197="",0,IFERROR(INDEX('5'!$I$4:$I$103,MATCH($A197,'5'!$C$4:$C$103,0)),0))</f>
        <v>0</v>
      </c>
      <c r="N197" s="25" t="str">
        <f t="shared" si="12"/>
        <v/>
      </c>
      <c r="O197" s="26" t="str">
        <f t="shared" si="13"/>
        <v/>
      </c>
      <c r="AA197" t="str">
        <f>IF(ISNUMBER(SEARCH("Junior",'4'!E32)),'4'!C32,"")</f>
        <v/>
      </c>
      <c r="AB197">
        <f>IF(AA197="",0,IF(COUNTIF($AA$1:AA197,AA197)=1,1,0))</f>
        <v>0</v>
      </c>
      <c r="AC197" t="str">
        <f>IF(AB197=1,COUNTIF($AB$1:AB197,1),"")</f>
        <v/>
      </c>
    </row>
    <row r="198" spans="1:29" x14ac:dyDescent="0.25">
      <c r="A198" s="13" t="str">
        <f>IFERROR(INDEX($AA$1:$AA$368,MATCH(195,$AC$1:$AC$368,0)),"")</f>
        <v/>
      </c>
      <c r="B198" s="13" t="str">
        <f>IF($A198="","",IF(IFERROR(INDEX(Barneveld!$E$4:$E$36,MATCH($A198,Barneveld!$C$4:$C$36,0)),"")&lt;&gt;"",IFERROR(INDEX(Barneveld!$E$4:$E$36,MATCH($A198,Barneveld!$C$4:$C$36,0)),""),IF(IFERROR(INDEX(Baarn!$F$4:$F$38,MATCH($A198,Baarn!$C$4:$C$38,0)),"")&lt;&gt;"",IFERROR(INDEX(Baarn!$F$4:$F$38,MATCH($A198,Baarn!$C$4:$C$38,0)),""),IF(IFERROR(INDEX(Scherpenzeel!$F$4:$F$103,MATCH($A198,Scherpenzeel!$C$4:$C$103,0)),"")&lt;&gt;"",IFERROR(INDEX(Scherpenzeel!$F$4:$F$103,MATCH($A198,Scherpenzeel!$C$4:$C$103,0)),""),IF(IFERROR(INDEX('4'!$F$4:$F$103,MATCH($A198,'4'!$C$4:$C$103,0)),"")&lt;&gt;"",IFERROR(INDEX('4'!$F$4:$F$103,MATCH($A198,'4'!$C$4:$C$103,0)),""),IFERROR(INDEX('5'!$F$4:$F$103,MATCH($A198,'5'!$C$4:$C$103,0)),""))))))</f>
        <v/>
      </c>
      <c r="C198" s="13" t="str">
        <f>IF($A198="","",IF(IFERROR(INDEX(Barneveld!$D$4:$D$36,MATCH($A198,Barneveld!$C$4:$C$36,0)),"")&lt;&gt;"",IFERROR(INDEX(Barneveld!$D$4:$D$36,MATCH($A198,Barneveld!$C$4:$C$36,0)),""),IF(IFERROR(INDEX(Baarn!$E$4:$E$38,MATCH($A198,Baarn!$C$4:$C$38,0)),"")&lt;&gt;"",IFERROR(INDEX(Baarn!$E$4:$E$38,MATCH($A198,Baarn!$C$4:$C$38,0)),""),IF(IFERROR(INDEX(Scherpenzeel!$E$4:$E$103,MATCH($A198,Scherpenzeel!$C$4:$C$103,0)),"")&lt;&gt;"",IFERROR(INDEX(Scherpenzeel!$E$4:$E$103,MATCH($A198,Scherpenzeel!$C$4:$C$103,0)),""),IF(IFERROR(INDEX('4'!$E$4:$E$103,MATCH($A198,'4'!$C$4:$C$103,0)),"")&lt;&gt;"",IFERROR(INDEX('4'!$E$4:$E$103,MATCH($A198,'4'!$C$4:$C$103,0)),""),IFERROR(INDEX('5'!$E$4:$E$103,MATCH($A198,'5'!$C$4:$C$103,0)),""))))))</f>
        <v/>
      </c>
      <c r="D198" s="24" t="str">
        <f>IF($A198="","",IFERROR(INDEX(Barneveld!$A$4:$A$36,MATCH($A198,Barneveld!$C$4:$C$36,0)),""))</f>
        <v/>
      </c>
      <c r="E198" s="15">
        <f>IF($A198="",0,IFERROR(INDEX(Barneveld!$H$4:$H$36,MATCH($A198,Barneveld!$C$4:$C$36,0)),0))</f>
        <v>0</v>
      </c>
      <c r="F198" s="24" t="str">
        <f>IF($A198="","",IFERROR(INDEX(Baarn!$A$4:$A$38,MATCH($A198,Baarn!$C$4:$C$38,0)),""))</f>
        <v/>
      </c>
      <c r="G198" s="15">
        <f>IF($A198="",0,IFERROR(INDEX(Baarn!$I$4:$I$38,MATCH($A198,Baarn!$C$4:$C$38,0)),0))</f>
        <v>0</v>
      </c>
      <c r="H198" s="24" t="str">
        <f>IF($A198="","",IFERROR(INDEX(Scherpenzeel!$A$4:$A$103,MATCH($A198,Scherpenzeel!$C$4:$C$103,0)),""))</f>
        <v/>
      </c>
      <c r="I198" s="15">
        <f>IF($A198="",0,IFERROR(INDEX(Scherpenzeel!$I$4:$I$103,MATCH($A198,Scherpenzeel!$C$4:$C$103,0)),0))</f>
        <v>0</v>
      </c>
      <c r="J198" s="24" t="str">
        <f>IF($A198="","",IFERROR(INDEX('4'!$A$4:$A$103,MATCH($A198,'4'!$C$4:$C$103,0)),""))</f>
        <v/>
      </c>
      <c r="K198" s="15">
        <f>IF($A198="",0,IFERROR(INDEX('4'!$I$4:$I$103,MATCH($A198,'4'!$C$4:$C$103,0)),0))</f>
        <v>0</v>
      </c>
      <c r="L198" s="24" t="str">
        <f>IF($A198="","",IFERROR(INDEX('5'!$A$4:$A$103,MATCH($A198,'5'!$C$4:$C$103,0)),""))</f>
        <v/>
      </c>
      <c r="M198" s="15">
        <f>IF($A198="",0,IFERROR(INDEX('5'!$I$4:$I$103,MATCH($A198,'5'!$C$4:$C$103,0)),0))</f>
        <v>0</v>
      </c>
      <c r="N198" s="25" t="str">
        <f t="shared" si="12"/>
        <v/>
      </c>
      <c r="O198" s="26" t="str">
        <f t="shared" si="13"/>
        <v/>
      </c>
      <c r="AA198" t="str">
        <f>IF(ISNUMBER(SEARCH("Junior",'4'!E33)),'4'!C33,"")</f>
        <v/>
      </c>
      <c r="AB198">
        <f>IF(AA198="",0,IF(COUNTIF($AA$1:AA198,AA198)=1,1,0))</f>
        <v>0</v>
      </c>
      <c r="AC198" t="str">
        <f>IF(AB198=1,COUNTIF($AB$1:AB198,1),"")</f>
        <v/>
      </c>
    </row>
    <row r="199" spans="1:29" x14ac:dyDescent="0.25">
      <c r="A199" s="13" t="str">
        <f>IFERROR(INDEX($AA$1:$AA$368,MATCH(196,$AC$1:$AC$368,0)),"")</f>
        <v/>
      </c>
      <c r="B199" s="13" t="str">
        <f>IF($A199="","",IF(IFERROR(INDEX(Barneveld!$E$4:$E$36,MATCH($A199,Barneveld!$C$4:$C$36,0)),"")&lt;&gt;"",IFERROR(INDEX(Barneveld!$E$4:$E$36,MATCH($A199,Barneveld!$C$4:$C$36,0)),""),IF(IFERROR(INDEX(Baarn!$F$4:$F$38,MATCH($A199,Baarn!$C$4:$C$38,0)),"")&lt;&gt;"",IFERROR(INDEX(Baarn!$F$4:$F$38,MATCH($A199,Baarn!$C$4:$C$38,0)),""),IF(IFERROR(INDEX(Scherpenzeel!$F$4:$F$103,MATCH($A199,Scherpenzeel!$C$4:$C$103,0)),"")&lt;&gt;"",IFERROR(INDEX(Scherpenzeel!$F$4:$F$103,MATCH($A199,Scherpenzeel!$C$4:$C$103,0)),""),IF(IFERROR(INDEX('4'!$F$4:$F$103,MATCH($A199,'4'!$C$4:$C$103,0)),"")&lt;&gt;"",IFERROR(INDEX('4'!$F$4:$F$103,MATCH($A199,'4'!$C$4:$C$103,0)),""),IFERROR(INDEX('5'!$F$4:$F$103,MATCH($A199,'5'!$C$4:$C$103,0)),""))))))</f>
        <v/>
      </c>
      <c r="C199" s="13" t="str">
        <f>IF($A199="","",IF(IFERROR(INDEX(Barneveld!$D$4:$D$36,MATCH($A199,Barneveld!$C$4:$C$36,0)),"")&lt;&gt;"",IFERROR(INDEX(Barneveld!$D$4:$D$36,MATCH($A199,Barneveld!$C$4:$C$36,0)),""),IF(IFERROR(INDEX(Baarn!$E$4:$E$38,MATCH($A199,Baarn!$C$4:$C$38,0)),"")&lt;&gt;"",IFERROR(INDEX(Baarn!$E$4:$E$38,MATCH($A199,Baarn!$C$4:$C$38,0)),""),IF(IFERROR(INDEX(Scherpenzeel!$E$4:$E$103,MATCH($A199,Scherpenzeel!$C$4:$C$103,0)),"")&lt;&gt;"",IFERROR(INDEX(Scherpenzeel!$E$4:$E$103,MATCH($A199,Scherpenzeel!$C$4:$C$103,0)),""),IF(IFERROR(INDEX('4'!$E$4:$E$103,MATCH($A199,'4'!$C$4:$C$103,0)),"")&lt;&gt;"",IFERROR(INDEX('4'!$E$4:$E$103,MATCH($A199,'4'!$C$4:$C$103,0)),""),IFERROR(INDEX('5'!$E$4:$E$103,MATCH($A199,'5'!$C$4:$C$103,0)),""))))))</f>
        <v/>
      </c>
      <c r="D199" s="24" t="str">
        <f>IF($A199="","",IFERROR(INDEX(Barneveld!$A$4:$A$36,MATCH($A199,Barneveld!$C$4:$C$36,0)),""))</f>
        <v/>
      </c>
      <c r="E199" s="15">
        <f>IF($A199="",0,IFERROR(INDEX(Barneveld!$H$4:$H$36,MATCH($A199,Barneveld!$C$4:$C$36,0)),0))</f>
        <v>0</v>
      </c>
      <c r="F199" s="24" t="str">
        <f>IF($A199="","",IFERROR(INDEX(Baarn!$A$4:$A$38,MATCH($A199,Baarn!$C$4:$C$38,0)),""))</f>
        <v/>
      </c>
      <c r="G199" s="15">
        <f>IF($A199="",0,IFERROR(INDEX(Baarn!$I$4:$I$38,MATCH($A199,Baarn!$C$4:$C$38,0)),0))</f>
        <v>0</v>
      </c>
      <c r="H199" s="24" t="str">
        <f>IF($A199="","",IFERROR(INDEX(Scherpenzeel!$A$4:$A$103,MATCH($A199,Scherpenzeel!$C$4:$C$103,0)),""))</f>
        <v/>
      </c>
      <c r="I199" s="15">
        <f>IF($A199="",0,IFERROR(INDEX(Scherpenzeel!$I$4:$I$103,MATCH($A199,Scherpenzeel!$C$4:$C$103,0)),0))</f>
        <v>0</v>
      </c>
      <c r="J199" s="24" t="str">
        <f>IF($A199="","",IFERROR(INDEX('4'!$A$4:$A$103,MATCH($A199,'4'!$C$4:$C$103,0)),""))</f>
        <v/>
      </c>
      <c r="K199" s="15">
        <f>IF($A199="",0,IFERROR(INDEX('4'!$I$4:$I$103,MATCH($A199,'4'!$C$4:$C$103,0)),0))</f>
        <v>0</v>
      </c>
      <c r="L199" s="24" t="str">
        <f>IF($A199="","",IFERROR(INDEX('5'!$A$4:$A$103,MATCH($A199,'5'!$C$4:$C$103,0)),""))</f>
        <v/>
      </c>
      <c r="M199" s="15">
        <f>IF($A199="",0,IFERROR(INDEX('5'!$I$4:$I$103,MATCH($A199,'5'!$C$4:$C$103,0)),0))</f>
        <v>0</v>
      </c>
      <c r="N199" s="25" t="str">
        <f t="shared" si="12"/>
        <v/>
      </c>
      <c r="O199" s="26" t="str">
        <f t="shared" si="13"/>
        <v/>
      </c>
      <c r="AA199" t="str">
        <f>IF(ISNUMBER(SEARCH("Junior",'4'!E34)),'4'!C34,"")</f>
        <v/>
      </c>
      <c r="AB199">
        <f>IF(AA199="",0,IF(COUNTIF($AA$1:AA199,AA199)=1,1,0))</f>
        <v>0</v>
      </c>
      <c r="AC199" t="str">
        <f>IF(AB199=1,COUNTIF($AB$1:AB199,1),"")</f>
        <v/>
      </c>
    </row>
    <row r="200" spans="1:29" x14ac:dyDescent="0.25">
      <c r="A200" s="13" t="str">
        <f>IFERROR(INDEX($AA$1:$AA$368,MATCH(197,$AC$1:$AC$368,0)),"")</f>
        <v/>
      </c>
      <c r="B200" s="13" t="str">
        <f>IF($A200="","",IF(IFERROR(INDEX(Barneveld!$E$4:$E$36,MATCH($A200,Barneveld!$C$4:$C$36,0)),"")&lt;&gt;"",IFERROR(INDEX(Barneveld!$E$4:$E$36,MATCH($A200,Barneveld!$C$4:$C$36,0)),""),IF(IFERROR(INDEX(Baarn!$F$4:$F$38,MATCH($A200,Baarn!$C$4:$C$38,0)),"")&lt;&gt;"",IFERROR(INDEX(Baarn!$F$4:$F$38,MATCH($A200,Baarn!$C$4:$C$38,0)),""),IF(IFERROR(INDEX(Scherpenzeel!$F$4:$F$103,MATCH($A200,Scherpenzeel!$C$4:$C$103,0)),"")&lt;&gt;"",IFERROR(INDEX(Scherpenzeel!$F$4:$F$103,MATCH($A200,Scherpenzeel!$C$4:$C$103,0)),""),IF(IFERROR(INDEX('4'!$F$4:$F$103,MATCH($A200,'4'!$C$4:$C$103,0)),"")&lt;&gt;"",IFERROR(INDEX('4'!$F$4:$F$103,MATCH($A200,'4'!$C$4:$C$103,0)),""),IFERROR(INDEX('5'!$F$4:$F$103,MATCH($A200,'5'!$C$4:$C$103,0)),""))))))</f>
        <v/>
      </c>
      <c r="C200" s="13" t="str">
        <f>IF($A200="","",IF(IFERROR(INDEX(Barneveld!$D$4:$D$36,MATCH($A200,Barneveld!$C$4:$C$36,0)),"")&lt;&gt;"",IFERROR(INDEX(Barneveld!$D$4:$D$36,MATCH($A200,Barneveld!$C$4:$C$36,0)),""),IF(IFERROR(INDEX(Baarn!$E$4:$E$38,MATCH($A200,Baarn!$C$4:$C$38,0)),"")&lt;&gt;"",IFERROR(INDEX(Baarn!$E$4:$E$38,MATCH($A200,Baarn!$C$4:$C$38,0)),""),IF(IFERROR(INDEX(Scherpenzeel!$E$4:$E$103,MATCH($A200,Scherpenzeel!$C$4:$C$103,0)),"")&lt;&gt;"",IFERROR(INDEX(Scherpenzeel!$E$4:$E$103,MATCH($A200,Scherpenzeel!$C$4:$C$103,0)),""),IF(IFERROR(INDEX('4'!$E$4:$E$103,MATCH($A200,'4'!$C$4:$C$103,0)),"")&lt;&gt;"",IFERROR(INDEX('4'!$E$4:$E$103,MATCH($A200,'4'!$C$4:$C$103,0)),""),IFERROR(INDEX('5'!$E$4:$E$103,MATCH($A200,'5'!$C$4:$C$103,0)),""))))))</f>
        <v/>
      </c>
      <c r="D200" s="24" t="str">
        <f>IF($A200="","",IFERROR(INDEX(Barneveld!$A$4:$A$36,MATCH($A200,Barneveld!$C$4:$C$36,0)),""))</f>
        <v/>
      </c>
      <c r="E200" s="15">
        <f>IF($A200="",0,IFERROR(INDEX(Barneveld!$H$4:$H$36,MATCH($A200,Barneveld!$C$4:$C$36,0)),0))</f>
        <v>0</v>
      </c>
      <c r="F200" s="24" t="str">
        <f>IF($A200="","",IFERROR(INDEX(Baarn!$A$4:$A$38,MATCH($A200,Baarn!$C$4:$C$38,0)),""))</f>
        <v/>
      </c>
      <c r="G200" s="15">
        <f>IF($A200="",0,IFERROR(INDEX(Baarn!$I$4:$I$38,MATCH($A200,Baarn!$C$4:$C$38,0)),0))</f>
        <v>0</v>
      </c>
      <c r="H200" s="24" t="str">
        <f>IF($A200="","",IFERROR(INDEX(Scherpenzeel!$A$4:$A$103,MATCH($A200,Scherpenzeel!$C$4:$C$103,0)),""))</f>
        <v/>
      </c>
      <c r="I200" s="15">
        <f>IF($A200="",0,IFERROR(INDEX(Scherpenzeel!$I$4:$I$103,MATCH($A200,Scherpenzeel!$C$4:$C$103,0)),0))</f>
        <v>0</v>
      </c>
      <c r="J200" s="24" t="str">
        <f>IF($A200="","",IFERROR(INDEX('4'!$A$4:$A$103,MATCH($A200,'4'!$C$4:$C$103,0)),""))</f>
        <v/>
      </c>
      <c r="K200" s="15">
        <f>IF($A200="",0,IFERROR(INDEX('4'!$I$4:$I$103,MATCH($A200,'4'!$C$4:$C$103,0)),0))</f>
        <v>0</v>
      </c>
      <c r="L200" s="24" t="str">
        <f>IF($A200="","",IFERROR(INDEX('5'!$A$4:$A$103,MATCH($A200,'5'!$C$4:$C$103,0)),""))</f>
        <v/>
      </c>
      <c r="M200" s="15">
        <f>IF($A200="",0,IFERROR(INDEX('5'!$I$4:$I$103,MATCH($A200,'5'!$C$4:$C$103,0)),0))</f>
        <v>0</v>
      </c>
      <c r="N200" s="25" t="str">
        <f t="shared" si="12"/>
        <v/>
      </c>
      <c r="O200" s="26" t="str">
        <f t="shared" si="13"/>
        <v/>
      </c>
      <c r="AA200" t="str">
        <f>IF(ISNUMBER(SEARCH("Junior",'4'!E35)),'4'!C35,"")</f>
        <v/>
      </c>
      <c r="AB200">
        <f>IF(AA200="",0,IF(COUNTIF($AA$1:AA200,AA200)=1,1,0))</f>
        <v>0</v>
      </c>
      <c r="AC200" t="str">
        <f>IF(AB200=1,COUNTIF($AB$1:AB200,1),"")</f>
        <v/>
      </c>
    </row>
    <row r="201" spans="1:29" x14ac:dyDescent="0.25">
      <c r="A201" s="13" t="str">
        <f>IFERROR(INDEX($AA$1:$AA$368,MATCH(198,$AC$1:$AC$368,0)),"")</f>
        <v/>
      </c>
      <c r="B201" s="13" t="str">
        <f>IF($A201="","",IF(IFERROR(INDEX(Barneveld!$E$4:$E$36,MATCH($A201,Barneveld!$C$4:$C$36,0)),"")&lt;&gt;"",IFERROR(INDEX(Barneveld!$E$4:$E$36,MATCH($A201,Barneveld!$C$4:$C$36,0)),""),IF(IFERROR(INDEX(Baarn!$F$4:$F$38,MATCH($A201,Baarn!$C$4:$C$38,0)),"")&lt;&gt;"",IFERROR(INDEX(Baarn!$F$4:$F$38,MATCH($A201,Baarn!$C$4:$C$38,0)),""),IF(IFERROR(INDEX(Scherpenzeel!$F$4:$F$103,MATCH($A201,Scherpenzeel!$C$4:$C$103,0)),"")&lt;&gt;"",IFERROR(INDEX(Scherpenzeel!$F$4:$F$103,MATCH($A201,Scherpenzeel!$C$4:$C$103,0)),""),IF(IFERROR(INDEX('4'!$F$4:$F$103,MATCH($A201,'4'!$C$4:$C$103,0)),"")&lt;&gt;"",IFERROR(INDEX('4'!$F$4:$F$103,MATCH($A201,'4'!$C$4:$C$103,0)),""),IFERROR(INDEX('5'!$F$4:$F$103,MATCH($A201,'5'!$C$4:$C$103,0)),""))))))</f>
        <v/>
      </c>
      <c r="C201" s="13" t="str">
        <f>IF($A201="","",IF(IFERROR(INDEX(Barneveld!$D$4:$D$36,MATCH($A201,Barneveld!$C$4:$C$36,0)),"")&lt;&gt;"",IFERROR(INDEX(Barneveld!$D$4:$D$36,MATCH($A201,Barneveld!$C$4:$C$36,0)),""),IF(IFERROR(INDEX(Baarn!$E$4:$E$38,MATCH($A201,Baarn!$C$4:$C$38,0)),"")&lt;&gt;"",IFERROR(INDEX(Baarn!$E$4:$E$38,MATCH($A201,Baarn!$C$4:$C$38,0)),""),IF(IFERROR(INDEX(Scherpenzeel!$E$4:$E$103,MATCH($A201,Scherpenzeel!$C$4:$C$103,0)),"")&lt;&gt;"",IFERROR(INDEX(Scherpenzeel!$E$4:$E$103,MATCH($A201,Scherpenzeel!$C$4:$C$103,0)),""),IF(IFERROR(INDEX('4'!$E$4:$E$103,MATCH($A201,'4'!$C$4:$C$103,0)),"")&lt;&gt;"",IFERROR(INDEX('4'!$E$4:$E$103,MATCH($A201,'4'!$C$4:$C$103,0)),""),IFERROR(INDEX('5'!$E$4:$E$103,MATCH($A201,'5'!$C$4:$C$103,0)),""))))))</f>
        <v/>
      </c>
      <c r="D201" s="24" t="str">
        <f>IF($A201="","",IFERROR(INDEX(Barneveld!$A$4:$A$36,MATCH($A201,Barneveld!$C$4:$C$36,0)),""))</f>
        <v/>
      </c>
      <c r="E201" s="15">
        <f>IF($A201="",0,IFERROR(INDEX(Barneveld!$H$4:$H$36,MATCH($A201,Barneveld!$C$4:$C$36,0)),0))</f>
        <v>0</v>
      </c>
      <c r="F201" s="24" t="str">
        <f>IF($A201="","",IFERROR(INDEX(Baarn!$A$4:$A$38,MATCH($A201,Baarn!$C$4:$C$38,0)),""))</f>
        <v/>
      </c>
      <c r="G201" s="15">
        <f>IF($A201="",0,IFERROR(INDEX(Baarn!$I$4:$I$38,MATCH($A201,Baarn!$C$4:$C$38,0)),0))</f>
        <v>0</v>
      </c>
      <c r="H201" s="24" t="str">
        <f>IF($A201="","",IFERROR(INDEX(Scherpenzeel!$A$4:$A$103,MATCH($A201,Scherpenzeel!$C$4:$C$103,0)),""))</f>
        <v/>
      </c>
      <c r="I201" s="15">
        <f>IF($A201="",0,IFERROR(INDEX(Scherpenzeel!$I$4:$I$103,MATCH($A201,Scherpenzeel!$C$4:$C$103,0)),0))</f>
        <v>0</v>
      </c>
      <c r="J201" s="24" t="str">
        <f>IF($A201="","",IFERROR(INDEX('4'!$A$4:$A$103,MATCH($A201,'4'!$C$4:$C$103,0)),""))</f>
        <v/>
      </c>
      <c r="K201" s="15">
        <f>IF($A201="",0,IFERROR(INDEX('4'!$I$4:$I$103,MATCH($A201,'4'!$C$4:$C$103,0)),0))</f>
        <v>0</v>
      </c>
      <c r="L201" s="24" t="str">
        <f>IF($A201="","",IFERROR(INDEX('5'!$A$4:$A$103,MATCH($A201,'5'!$C$4:$C$103,0)),""))</f>
        <v/>
      </c>
      <c r="M201" s="15">
        <f>IF($A201="",0,IFERROR(INDEX('5'!$I$4:$I$103,MATCH($A201,'5'!$C$4:$C$103,0)),0))</f>
        <v>0</v>
      </c>
      <c r="N201" s="25" t="str">
        <f t="shared" si="12"/>
        <v/>
      </c>
      <c r="O201" s="26" t="str">
        <f t="shared" si="13"/>
        <v/>
      </c>
      <c r="AA201" t="str">
        <f>IF(ISNUMBER(SEARCH("Junior",'4'!E36)),'4'!C36,"")</f>
        <v/>
      </c>
      <c r="AB201">
        <f>IF(AA201="",0,IF(COUNTIF($AA$1:AA201,AA201)=1,1,0))</f>
        <v>0</v>
      </c>
      <c r="AC201" t="str">
        <f>IF(AB201=1,COUNTIF($AB$1:AB201,1),"")</f>
        <v/>
      </c>
    </row>
    <row r="202" spans="1:29" x14ac:dyDescent="0.25">
      <c r="A202" s="13" t="str">
        <f>IFERROR(INDEX($AA$1:$AA$368,MATCH(199,$AC$1:$AC$368,0)),"")</f>
        <v/>
      </c>
      <c r="B202" s="13" t="str">
        <f>IF($A202="","",IF(IFERROR(INDEX(Barneveld!$E$4:$E$36,MATCH($A202,Barneveld!$C$4:$C$36,0)),"")&lt;&gt;"",IFERROR(INDEX(Barneveld!$E$4:$E$36,MATCH($A202,Barneveld!$C$4:$C$36,0)),""),IF(IFERROR(INDEX(Baarn!$F$4:$F$38,MATCH($A202,Baarn!$C$4:$C$38,0)),"")&lt;&gt;"",IFERROR(INDEX(Baarn!$F$4:$F$38,MATCH($A202,Baarn!$C$4:$C$38,0)),""),IF(IFERROR(INDEX(Scherpenzeel!$F$4:$F$103,MATCH($A202,Scherpenzeel!$C$4:$C$103,0)),"")&lt;&gt;"",IFERROR(INDEX(Scherpenzeel!$F$4:$F$103,MATCH($A202,Scherpenzeel!$C$4:$C$103,0)),""),IF(IFERROR(INDEX('4'!$F$4:$F$103,MATCH($A202,'4'!$C$4:$C$103,0)),"")&lt;&gt;"",IFERROR(INDEX('4'!$F$4:$F$103,MATCH($A202,'4'!$C$4:$C$103,0)),""),IFERROR(INDEX('5'!$F$4:$F$103,MATCH($A202,'5'!$C$4:$C$103,0)),""))))))</f>
        <v/>
      </c>
      <c r="C202" s="13" t="str">
        <f>IF($A202="","",IF(IFERROR(INDEX(Barneveld!$D$4:$D$36,MATCH($A202,Barneveld!$C$4:$C$36,0)),"")&lt;&gt;"",IFERROR(INDEX(Barneveld!$D$4:$D$36,MATCH($A202,Barneveld!$C$4:$C$36,0)),""),IF(IFERROR(INDEX(Baarn!$E$4:$E$38,MATCH($A202,Baarn!$C$4:$C$38,0)),"")&lt;&gt;"",IFERROR(INDEX(Baarn!$E$4:$E$38,MATCH($A202,Baarn!$C$4:$C$38,0)),""),IF(IFERROR(INDEX(Scherpenzeel!$E$4:$E$103,MATCH($A202,Scherpenzeel!$C$4:$C$103,0)),"")&lt;&gt;"",IFERROR(INDEX(Scherpenzeel!$E$4:$E$103,MATCH($A202,Scherpenzeel!$C$4:$C$103,0)),""),IF(IFERROR(INDEX('4'!$E$4:$E$103,MATCH($A202,'4'!$C$4:$C$103,0)),"")&lt;&gt;"",IFERROR(INDEX('4'!$E$4:$E$103,MATCH($A202,'4'!$C$4:$C$103,0)),""),IFERROR(INDEX('5'!$E$4:$E$103,MATCH($A202,'5'!$C$4:$C$103,0)),""))))))</f>
        <v/>
      </c>
      <c r="D202" s="24" t="str">
        <f>IF($A202="","",IFERROR(INDEX(Barneveld!$A$4:$A$36,MATCH($A202,Barneveld!$C$4:$C$36,0)),""))</f>
        <v/>
      </c>
      <c r="E202" s="15">
        <f>IF($A202="",0,IFERROR(INDEX(Barneveld!$H$4:$H$36,MATCH($A202,Barneveld!$C$4:$C$36,0)),0))</f>
        <v>0</v>
      </c>
      <c r="F202" s="24" t="str">
        <f>IF($A202="","",IFERROR(INDEX(Baarn!$A$4:$A$38,MATCH($A202,Baarn!$C$4:$C$38,0)),""))</f>
        <v/>
      </c>
      <c r="G202" s="15">
        <f>IF($A202="",0,IFERROR(INDEX(Baarn!$I$4:$I$38,MATCH($A202,Baarn!$C$4:$C$38,0)),0))</f>
        <v>0</v>
      </c>
      <c r="H202" s="24" t="str">
        <f>IF($A202="","",IFERROR(INDEX(Scherpenzeel!$A$4:$A$103,MATCH($A202,Scherpenzeel!$C$4:$C$103,0)),""))</f>
        <v/>
      </c>
      <c r="I202" s="15">
        <f>IF($A202="",0,IFERROR(INDEX(Scherpenzeel!$I$4:$I$103,MATCH($A202,Scherpenzeel!$C$4:$C$103,0)),0))</f>
        <v>0</v>
      </c>
      <c r="J202" s="24" t="str">
        <f>IF($A202="","",IFERROR(INDEX('4'!$A$4:$A$103,MATCH($A202,'4'!$C$4:$C$103,0)),""))</f>
        <v/>
      </c>
      <c r="K202" s="15">
        <f>IF($A202="",0,IFERROR(INDEX('4'!$I$4:$I$103,MATCH($A202,'4'!$C$4:$C$103,0)),0))</f>
        <v>0</v>
      </c>
      <c r="L202" s="24" t="str">
        <f>IF($A202="","",IFERROR(INDEX('5'!$A$4:$A$103,MATCH($A202,'5'!$C$4:$C$103,0)),""))</f>
        <v/>
      </c>
      <c r="M202" s="15">
        <f>IF($A202="",0,IFERROR(INDEX('5'!$I$4:$I$103,MATCH($A202,'5'!$C$4:$C$103,0)),0))</f>
        <v>0</v>
      </c>
      <c r="N202" s="25" t="str">
        <f t="shared" si="12"/>
        <v/>
      </c>
      <c r="O202" s="26" t="str">
        <f t="shared" si="13"/>
        <v/>
      </c>
      <c r="AA202" t="str">
        <f>IF(ISNUMBER(SEARCH("Junior",'4'!E37)),'4'!C37,"")</f>
        <v/>
      </c>
      <c r="AB202">
        <f>IF(AA202="",0,IF(COUNTIF($AA$1:AA202,AA202)=1,1,0))</f>
        <v>0</v>
      </c>
      <c r="AC202" t="str">
        <f>IF(AB202=1,COUNTIF($AB$1:AB202,1),"")</f>
        <v/>
      </c>
    </row>
    <row r="203" spans="1:29" x14ac:dyDescent="0.25">
      <c r="A203" s="13" t="str">
        <f>IFERROR(INDEX($AA$1:$AA$368,MATCH(200,$AC$1:$AC$368,0)),"")</f>
        <v/>
      </c>
      <c r="B203" s="13" t="str">
        <f>IF($A203="","",IF(IFERROR(INDEX(Barneveld!$E$4:$E$36,MATCH($A203,Barneveld!$C$4:$C$36,0)),"")&lt;&gt;"",IFERROR(INDEX(Barneveld!$E$4:$E$36,MATCH($A203,Barneveld!$C$4:$C$36,0)),""),IF(IFERROR(INDEX(Baarn!$F$4:$F$38,MATCH($A203,Baarn!$C$4:$C$38,0)),"")&lt;&gt;"",IFERROR(INDEX(Baarn!$F$4:$F$38,MATCH($A203,Baarn!$C$4:$C$38,0)),""),IF(IFERROR(INDEX(Scherpenzeel!$F$4:$F$103,MATCH($A203,Scherpenzeel!$C$4:$C$103,0)),"")&lt;&gt;"",IFERROR(INDEX(Scherpenzeel!$F$4:$F$103,MATCH($A203,Scherpenzeel!$C$4:$C$103,0)),""),IF(IFERROR(INDEX('4'!$F$4:$F$103,MATCH($A203,'4'!$C$4:$C$103,0)),"")&lt;&gt;"",IFERROR(INDEX('4'!$F$4:$F$103,MATCH($A203,'4'!$C$4:$C$103,0)),""),IFERROR(INDEX('5'!$F$4:$F$103,MATCH($A203,'5'!$C$4:$C$103,0)),""))))))</f>
        <v/>
      </c>
      <c r="C203" s="13" t="str">
        <f>IF($A203="","",IF(IFERROR(INDEX(Barneveld!$D$4:$D$36,MATCH($A203,Barneveld!$C$4:$C$36,0)),"")&lt;&gt;"",IFERROR(INDEX(Barneveld!$D$4:$D$36,MATCH($A203,Barneveld!$C$4:$C$36,0)),""),IF(IFERROR(INDEX(Baarn!$E$4:$E$38,MATCH($A203,Baarn!$C$4:$C$38,0)),"")&lt;&gt;"",IFERROR(INDEX(Baarn!$E$4:$E$38,MATCH($A203,Baarn!$C$4:$C$38,0)),""),IF(IFERROR(INDEX(Scherpenzeel!$E$4:$E$103,MATCH($A203,Scherpenzeel!$C$4:$C$103,0)),"")&lt;&gt;"",IFERROR(INDEX(Scherpenzeel!$E$4:$E$103,MATCH($A203,Scherpenzeel!$C$4:$C$103,0)),""),IF(IFERROR(INDEX('4'!$E$4:$E$103,MATCH($A203,'4'!$C$4:$C$103,0)),"")&lt;&gt;"",IFERROR(INDEX('4'!$E$4:$E$103,MATCH($A203,'4'!$C$4:$C$103,0)),""),IFERROR(INDEX('5'!$E$4:$E$103,MATCH($A203,'5'!$C$4:$C$103,0)),""))))))</f>
        <v/>
      </c>
      <c r="D203" s="24" t="str">
        <f>IF($A203="","",IFERROR(INDEX(Barneveld!$A$4:$A$36,MATCH($A203,Barneveld!$C$4:$C$36,0)),""))</f>
        <v/>
      </c>
      <c r="E203" s="15">
        <f>IF($A203="",0,IFERROR(INDEX(Barneveld!$H$4:$H$36,MATCH($A203,Barneveld!$C$4:$C$36,0)),0))</f>
        <v>0</v>
      </c>
      <c r="F203" s="24" t="str">
        <f>IF($A203="","",IFERROR(INDEX(Baarn!$A$4:$A$38,MATCH($A203,Baarn!$C$4:$C$38,0)),""))</f>
        <v/>
      </c>
      <c r="G203" s="15">
        <f>IF($A203="",0,IFERROR(INDEX(Baarn!$I$4:$I$38,MATCH($A203,Baarn!$C$4:$C$38,0)),0))</f>
        <v>0</v>
      </c>
      <c r="H203" s="24" t="str">
        <f>IF($A203="","",IFERROR(INDEX(Scherpenzeel!$A$4:$A$103,MATCH($A203,Scherpenzeel!$C$4:$C$103,0)),""))</f>
        <v/>
      </c>
      <c r="I203" s="15">
        <f>IF($A203="",0,IFERROR(INDEX(Scherpenzeel!$I$4:$I$103,MATCH($A203,Scherpenzeel!$C$4:$C$103,0)),0))</f>
        <v>0</v>
      </c>
      <c r="J203" s="24" t="str">
        <f>IF($A203="","",IFERROR(INDEX('4'!$A$4:$A$103,MATCH($A203,'4'!$C$4:$C$103,0)),""))</f>
        <v/>
      </c>
      <c r="K203" s="15">
        <f>IF($A203="",0,IFERROR(INDEX('4'!$I$4:$I$103,MATCH($A203,'4'!$C$4:$C$103,0)),0))</f>
        <v>0</v>
      </c>
      <c r="L203" s="24" t="str">
        <f>IF($A203="","",IFERROR(INDEX('5'!$A$4:$A$103,MATCH($A203,'5'!$C$4:$C$103,0)),""))</f>
        <v/>
      </c>
      <c r="M203" s="15">
        <f>IF($A203="",0,IFERROR(INDEX('5'!$I$4:$I$103,MATCH($A203,'5'!$C$4:$C$103,0)),0))</f>
        <v>0</v>
      </c>
      <c r="N203" s="25" t="str">
        <f t="shared" si="12"/>
        <v/>
      </c>
      <c r="O203" s="26" t="str">
        <f t="shared" si="13"/>
        <v/>
      </c>
      <c r="AA203" t="str">
        <f>IF(ISNUMBER(SEARCH("Junior",'4'!E38)),'4'!C38,"")</f>
        <v/>
      </c>
      <c r="AB203">
        <f>IF(AA203="",0,IF(COUNTIF($AA$1:AA203,AA203)=1,1,0))</f>
        <v>0</v>
      </c>
      <c r="AC203" t="str">
        <f>IF(AB203=1,COUNTIF($AB$1:AB203,1),"")</f>
        <v/>
      </c>
    </row>
    <row r="204" spans="1:29" x14ac:dyDescent="0.25">
      <c r="AA204" t="str">
        <f>IF(ISNUMBER(SEARCH("Junior",'4'!E39)),'4'!C39,"")</f>
        <v/>
      </c>
      <c r="AB204">
        <f>IF(AA204="",0,IF(COUNTIF($AA$1:AA204,AA204)=1,1,0))</f>
        <v>0</v>
      </c>
      <c r="AC204" t="str">
        <f>IF(AB204=1,COUNTIF($AB$1:AB204,1),"")</f>
        <v/>
      </c>
    </row>
    <row r="205" spans="1:29" x14ac:dyDescent="0.25">
      <c r="AA205" t="str">
        <f>IF(ISNUMBER(SEARCH("Junior",'4'!E40)),'4'!C40,"")</f>
        <v/>
      </c>
      <c r="AB205">
        <f>IF(AA205="",0,IF(COUNTIF($AA$1:AA205,AA205)=1,1,0))</f>
        <v>0</v>
      </c>
      <c r="AC205" t="str">
        <f>IF(AB205=1,COUNTIF($AB$1:AB205,1),"")</f>
        <v/>
      </c>
    </row>
    <row r="206" spans="1:29" x14ac:dyDescent="0.25">
      <c r="AA206" t="str">
        <f>IF(ISNUMBER(SEARCH("Junior",'4'!E41)),'4'!C41,"")</f>
        <v/>
      </c>
      <c r="AB206">
        <f>IF(AA206="",0,IF(COUNTIF($AA$1:AA206,AA206)=1,1,0))</f>
        <v>0</v>
      </c>
      <c r="AC206" t="str">
        <f>IF(AB206=1,COUNTIF($AB$1:AB206,1),"")</f>
        <v/>
      </c>
    </row>
    <row r="207" spans="1:29" x14ac:dyDescent="0.25">
      <c r="AA207" t="str">
        <f>IF(ISNUMBER(SEARCH("Junior",'4'!E42)),'4'!C42,"")</f>
        <v/>
      </c>
      <c r="AB207">
        <f>IF(AA207="",0,IF(COUNTIF($AA$1:AA207,AA207)=1,1,0))</f>
        <v>0</v>
      </c>
      <c r="AC207" t="str">
        <f>IF(AB207=1,COUNTIF($AB$1:AB207,1),"")</f>
        <v/>
      </c>
    </row>
    <row r="208" spans="1:29" x14ac:dyDescent="0.25">
      <c r="AA208" t="str">
        <f>IF(ISNUMBER(SEARCH("Junior",'4'!E43)),'4'!C43,"")</f>
        <v/>
      </c>
      <c r="AB208">
        <f>IF(AA208="",0,IF(COUNTIF($AA$1:AA208,AA208)=1,1,0))</f>
        <v>0</v>
      </c>
      <c r="AC208" t="str">
        <f>IF(AB208=1,COUNTIF($AB$1:AB208,1),"")</f>
        <v/>
      </c>
    </row>
    <row r="209" spans="27:29" x14ac:dyDescent="0.25">
      <c r="AA209" t="str">
        <f>IF(ISNUMBER(SEARCH("Junior",'4'!E44)),'4'!C44,"")</f>
        <v/>
      </c>
      <c r="AB209">
        <f>IF(AA209="",0,IF(COUNTIF($AA$1:AA209,AA209)=1,1,0))</f>
        <v>0</v>
      </c>
      <c r="AC209" t="str">
        <f>IF(AB209=1,COUNTIF($AB$1:AB209,1),"")</f>
        <v/>
      </c>
    </row>
    <row r="210" spans="27:29" x14ac:dyDescent="0.25">
      <c r="AA210" t="str">
        <f>IF(ISNUMBER(SEARCH("Junior",'4'!E45)),'4'!C45,"")</f>
        <v/>
      </c>
      <c r="AB210">
        <f>IF(AA210="",0,IF(COUNTIF($AA$1:AA210,AA210)=1,1,0))</f>
        <v>0</v>
      </c>
      <c r="AC210" t="str">
        <f>IF(AB210=1,COUNTIF($AB$1:AB210,1),"")</f>
        <v/>
      </c>
    </row>
    <row r="211" spans="27:29" x14ac:dyDescent="0.25">
      <c r="AA211" t="str">
        <f>IF(ISNUMBER(SEARCH("Junior",'4'!E46)),'4'!C46,"")</f>
        <v/>
      </c>
      <c r="AB211">
        <f>IF(AA211="",0,IF(COUNTIF($AA$1:AA211,AA211)=1,1,0))</f>
        <v>0</v>
      </c>
      <c r="AC211" t="str">
        <f>IF(AB211=1,COUNTIF($AB$1:AB211,1),"")</f>
        <v/>
      </c>
    </row>
    <row r="212" spans="27:29" x14ac:dyDescent="0.25">
      <c r="AA212" t="str">
        <f>IF(ISNUMBER(SEARCH("Junior",'4'!E47)),'4'!C47,"")</f>
        <v/>
      </c>
      <c r="AB212">
        <f>IF(AA212="",0,IF(COUNTIF($AA$1:AA212,AA212)=1,1,0))</f>
        <v>0</v>
      </c>
      <c r="AC212" t="str">
        <f>IF(AB212=1,COUNTIF($AB$1:AB212,1),"")</f>
        <v/>
      </c>
    </row>
    <row r="213" spans="27:29" x14ac:dyDescent="0.25">
      <c r="AA213" t="str">
        <f>IF(ISNUMBER(SEARCH("Junior",'4'!E48)),'4'!C48,"")</f>
        <v/>
      </c>
      <c r="AB213">
        <f>IF(AA213="",0,IF(COUNTIF($AA$1:AA213,AA213)=1,1,0))</f>
        <v>0</v>
      </c>
      <c r="AC213" t="str">
        <f>IF(AB213=1,COUNTIF($AB$1:AB213,1),"")</f>
        <v/>
      </c>
    </row>
    <row r="214" spans="27:29" x14ac:dyDescent="0.25">
      <c r="AA214" t="str">
        <f>IF(ISNUMBER(SEARCH("Junior",'4'!E49)),'4'!C49,"")</f>
        <v/>
      </c>
      <c r="AB214">
        <f>IF(AA214="",0,IF(COUNTIF($AA$1:AA214,AA214)=1,1,0))</f>
        <v>0</v>
      </c>
      <c r="AC214" t="str">
        <f>IF(AB214=1,COUNTIF($AB$1:AB214,1),"")</f>
        <v/>
      </c>
    </row>
    <row r="215" spans="27:29" x14ac:dyDescent="0.25">
      <c r="AA215" t="str">
        <f>IF(ISNUMBER(SEARCH("Junior",'4'!E50)),'4'!C50,"")</f>
        <v/>
      </c>
      <c r="AB215">
        <f>IF(AA215="",0,IF(COUNTIF($AA$1:AA215,AA215)=1,1,0))</f>
        <v>0</v>
      </c>
      <c r="AC215" t="str">
        <f>IF(AB215=1,COUNTIF($AB$1:AB215,1),"")</f>
        <v/>
      </c>
    </row>
    <row r="216" spans="27:29" x14ac:dyDescent="0.25">
      <c r="AA216" t="str">
        <f>IF(ISNUMBER(SEARCH("Junior",'4'!E51)),'4'!C51,"")</f>
        <v/>
      </c>
      <c r="AB216">
        <f>IF(AA216="",0,IF(COUNTIF($AA$1:AA216,AA216)=1,1,0))</f>
        <v>0</v>
      </c>
      <c r="AC216" t="str">
        <f>IF(AB216=1,COUNTIF($AB$1:AB216,1),"")</f>
        <v/>
      </c>
    </row>
    <row r="217" spans="27:29" x14ac:dyDescent="0.25">
      <c r="AA217" t="str">
        <f>IF(ISNUMBER(SEARCH("Junior",'4'!E52)),'4'!C52,"")</f>
        <v/>
      </c>
      <c r="AB217">
        <f>IF(AA217="",0,IF(COUNTIF($AA$1:AA217,AA217)=1,1,0))</f>
        <v>0</v>
      </c>
      <c r="AC217" t="str">
        <f>IF(AB217=1,COUNTIF($AB$1:AB217,1),"")</f>
        <v/>
      </c>
    </row>
    <row r="218" spans="27:29" x14ac:dyDescent="0.25">
      <c r="AA218" t="str">
        <f>IF(ISNUMBER(SEARCH("Junior",'4'!E53)),'4'!C53,"")</f>
        <v/>
      </c>
      <c r="AB218">
        <f>IF(AA218="",0,IF(COUNTIF($AA$1:AA218,AA218)=1,1,0))</f>
        <v>0</v>
      </c>
      <c r="AC218" t="str">
        <f>IF(AB218=1,COUNTIF($AB$1:AB218,1),"")</f>
        <v/>
      </c>
    </row>
    <row r="219" spans="27:29" x14ac:dyDescent="0.25">
      <c r="AA219" t="str">
        <f>IF(ISNUMBER(SEARCH("Junior",'4'!E54)),'4'!C54,"")</f>
        <v/>
      </c>
      <c r="AB219">
        <f>IF(AA219="",0,IF(COUNTIF($AA$1:AA219,AA219)=1,1,0))</f>
        <v>0</v>
      </c>
      <c r="AC219" t="str">
        <f>IF(AB219=1,COUNTIF($AB$1:AB219,1),"")</f>
        <v/>
      </c>
    </row>
    <row r="220" spans="27:29" x14ac:dyDescent="0.25">
      <c r="AA220" t="str">
        <f>IF(ISNUMBER(SEARCH("Junior",'4'!E55)),'4'!C55,"")</f>
        <v/>
      </c>
      <c r="AB220">
        <f>IF(AA220="",0,IF(COUNTIF($AA$1:AA220,AA220)=1,1,0))</f>
        <v>0</v>
      </c>
      <c r="AC220" t="str">
        <f>IF(AB220=1,COUNTIF($AB$1:AB220,1),"")</f>
        <v/>
      </c>
    </row>
    <row r="221" spans="27:29" x14ac:dyDescent="0.25">
      <c r="AA221" t="str">
        <f>IF(ISNUMBER(SEARCH("Junior",'4'!E56)),'4'!C56,"")</f>
        <v/>
      </c>
      <c r="AB221">
        <f>IF(AA221="",0,IF(COUNTIF($AA$1:AA221,AA221)=1,1,0))</f>
        <v>0</v>
      </c>
      <c r="AC221" t="str">
        <f>IF(AB221=1,COUNTIF($AB$1:AB221,1),"")</f>
        <v/>
      </c>
    </row>
    <row r="222" spans="27:29" x14ac:dyDescent="0.25">
      <c r="AA222" t="str">
        <f>IF(ISNUMBER(SEARCH("Junior",'4'!E57)),'4'!C57,"")</f>
        <v/>
      </c>
      <c r="AB222">
        <f>IF(AA222="",0,IF(COUNTIF($AA$1:AA222,AA222)=1,1,0))</f>
        <v>0</v>
      </c>
      <c r="AC222" t="str">
        <f>IF(AB222=1,COUNTIF($AB$1:AB222,1),"")</f>
        <v/>
      </c>
    </row>
    <row r="223" spans="27:29" x14ac:dyDescent="0.25">
      <c r="AA223" t="str">
        <f>IF(ISNUMBER(SEARCH("Junior",'4'!E58)),'4'!C58,"")</f>
        <v/>
      </c>
      <c r="AB223">
        <f>IF(AA223="",0,IF(COUNTIF($AA$1:AA223,AA223)=1,1,0))</f>
        <v>0</v>
      </c>
      <c r="AC223" t="str">
        <f>IF(AB223=1,COUNTIF($AB$1:AB223,1),"")</f>
        <v/>
      </c>
    </row>
    <row r="224" spans="27:29" x14ac:dyDescent="0.25">
      <c r="AA224" t="str">
        <f>IF(ISNUMBER(SEARCH("Junior",'4'!E59)),'4'!C59,"")</f>
        <v/>
      </c>
      <c r="AB224">
        <f>IF(AA224="",0,IF(COUNTIF($AA$1:AA224,AA224)=1,1,0))</f>
        <v>0</v>
      </c>
      <c r="AC224" t="str">
        <f>IF(AB224=1,COUNTIF($AB$1:AB224,1),"")</f>
        <v/>
      </c>
    </row>
    <row r="225" spans="27:29" x14ac:dyDescent="0.25">
      <c r="AA225" t="str">
        <f>IF(ISNUMBER(SEARCH("Junior",'4'!E60)),'4'!C60,"")</f>
        <v/>
      </c>
      <c r="AB225">
        <f>IF(AA225="",0,IF(COUNTIF($AA$1:AA225,AA225)=1,1,0))</f>
        <v>0</v>
      </c>
      <c r="AC225" t="str">
        <f>IF(AB225=1,COUNTIF($AB$1:AB225,1),"")</f>
        <v/>
      </c>
    </row>
    <row r="226" spans="27:29" x14ac:dyDescent="0.25">
      <c r="AA226" t="str">
        <f>IF(ISNUMBER(SEARCH("Junior",'4'!E61)),'4'!C61,"")</f>
        <v/>
      </c>
      <c r="AB226">
        <f>IF(AA226="",0,IF(COUNTIF($AA$1:AA226,AA226)=1,1,0))</f>
        <v>0</v>
      </c>
      <c r="AC226" t="str">
        <f>IF(AB226=1,COUNTIF($AB$1:AB226,1),"")</f>
        <v/>
      </c>
    </row>
    <row r="227" spans="27:29" x14ac:dyDescent="0.25">
      <c r="AA227" t="str">
        <f>IF(ISNUMBER(SEARCH("Junior",'4'!E62)),'4'!C62,"")</f>
        <v/>
      </c>
      <c r="AB227">
        <f>IF(AA227="",0,IF(COUNTIF($AA$1:AA227,AA227)=1,1,0))</f>
        <v>0</v>
      </c>
      <c r="AC227" t="str">
        <f>IF(AB227=1,COUNTIF($AB$1:AB227,1),"")</f>
        <v/>
      </c>
    </row>
    <row r="228" spans="27:29" x14ac:dyDescent="0.25">
      <c r="AA228" t="str">
        <f>IF(ISNUMBER(SEARCH("Junior",'4'!E63)),'4'!C63,"")</f>
        <v/>
      </c>
      <c r="AB228">
        <f>IF(AA228="",0,IF(COUNTIF($AA$1:AA228,AA228)=1,1,0))</f>
        <v>0</v>
      </c>
      <c r="AC228" t="str">
        <f>IF(AB228=1,COUNTIF($AB$1:AB228,1),"")</f>
        <v/>
      </c>
    </row>
    <row r="229" spans="27:29" x14ac:dyDescent="0.25">
      <c r="AA229" t="str">
        <f>IF(ISNUMBER(SEARCH("Junior",'4'!E64)),'4'!C64,"")</f>
        <v/>
      </c>
      <c r="AB229">
        <f>IF(AA229="",0,IF(COUNTIF($AA$1:AA229,AA229)=1,1,0))</f>
        <v>0</v>
      </c>
      <c r="AC229" t="str">
        <f>IF(AB229=1,COUNTIF($AB$1:AB229,1),"")</f>
        <v/>
      </c>
    </row>
    <row r="230" spans="27:29" x14ac:dyDescent="0.25">
      <c r="AA230" t="str">
        <f>IF(ISNUMBER(SEARCH("Junior",'4'!E65)),'4'!C65,"")</f>
        <v/>
      </c>
      <c r="AB230">
        <f>IF(AA230="",0,IF(COUNTIF($AA$1:AA230,AA230)=1,1,0))</f>
        <v>0</v>
      </c>
      <c r="AC230" t="str">
        <f>IF(AB230=1,COUNTIF($AB$1:AB230,1),"")</f>
        <v/>
      </c>
    </row>
    <row r="231" spans="27:29" x14ac:dyDescent="0.25">
      <c r="AA231" t="str">
        <f>IF(ISNUMBER(SEARCH("Junior",'4'!E66)),'4'!C66,"")</f>
        <v/>
      </c>
      <c r="AB231">
        <f>IF(AA231="",0,IF(COUNTIF($AA$1:AA231,AA231)=1,1,0))</f>
        <v>0</v>
      </c>
      <c r="AC231" t="str">
        <f>IF(AB231=1,COUNTIF($AB$1:AB231,1),"")</f>
        <v/>
      </c>
    </row>
    <row r="232" spans="27:29" x14ac:dyDescent="0.25">
      <c r="AA232" t="str">
        <f>IF(ISNUMBER(SEARCH("Junior",'4'!E67)),'4'!C67,"")</f>
        <v/>
      </c>
      <c r="AB232">
        <f>IF(AA232="",0,IF(COUNTIF($AA$1:AA232,AA232)=1,1,0))</f>
        <v>0</v>
      </c>
      <c r="AC232" t="str">
        <f>IF(AB232=1,COUNTIF($AB$1:AB232,1),"")</f>
        <v/>
      </c>
    </row>
    <row r="233" spans="27:29" x14ac:dyDescent="0.25">
      <c r="AA233" t="str">
        <f>IF(ISNUMBER(SEARCH("Junior",'4'!E68)),'4'!C68,"")</f>
        <v/>
      </c>
      <c r="AB233">
        <f>IF(AA233="",0,IF(COUNTIF($AA$1:AA233,AA233)=1,1,0))</f>
        <v>0</v>
      </c>
      <c r="AC233" t="str">
        <f>IF(AB233=1,COUNTIF($AB$1:AB233,1),"")</f>
        <v/>
      </c>
    </row>
    <row r="234" spans="27:29" x14ac:dyDescent="0.25">
      <c r="AA234" t="str">
        <f>IF(ISNUMBER(SEARCH("Junior",'4'!E69)),'4'!C69,"")</f>
        <v/>
      </c>
      <c r="AB234">
        <f>IF(AA234="",0,IF(COUNTIF($AA$1:AA234,AA234)=1,1,0))</f>
        <v>0</v>
      </c>
      <c r="AC234" t="str">
        <f>IF(AB234=1,COUNTIF($AB$1:AB234,1),"")</f>
        <v/>
      </c>
    </row>
    <row r="235" spans="27:29" x14ac:dyDescent="0.25">
      <c r="AA235" t="str">
        <f>IF(ISNUMBER(SEARCH("Junior",'4'!E70)),'4'!C70,"")</f>
        <v/>
      </c>
      <c r="AB235">
        <f>IF(AA235="",0,IF(COUNTIF($AA$1:AA235,AA235)=1,1,0))</f>
        <v>0</v>
      </c>
      <c r="AC235" t="str">
        <f>IF(AB235=1,COUNTIF($AB$1:AB235,1),"")</f>
        <v/>
      </c>
    </row>
    <row r="236" spans="27:29" x14ac:dyDescent="0.25">
      <c r="AA236" t="str">
        <f>IF(ISNUMBER(SEARCH("Junior",'4'!E71)),'4'!C71,"")</f>
        <v/>
      </c>
      <c r="AB236">
        <f>IF(AA236="",0,IF(COUNTIF($AA$1:AA236,AA236)=1,1,0))</f>
        <v>0</v>
      </c>
      <c r="AC236" t="str">
        <f>IF(AB236=1,COUNTIF($AB$1:AB236,1),"")</f>
        <v/>
      </c>
    </row>
    <row r="237" spans="27:29" x14ac:dyDescent="0.25">
      <c r="AA237" t="str">
        <f>IF(ISNUMBER(SEARCH("Junior",'4'!E72)),'4'!C72,"")</f>
        <v/>
      </c>
      <c r="AB237">
        <f>IF(AA237="",0,IF(COUNTIF($AA$1:AA237,AA237)=1,1,0))</f>
        <v>0</v>
      </c>
      <c r="AC237" t="str">
        <f>IF(AB237=1,COUNTIF($AB$1:AB237,1),"")</f>
        <v/>
      </c>
    </row>
    <row r="238" spans="27:29" x14ac:dyDescent="0.25">
      <c r="AA238" t="str">
        <f>IF(ISNUMBER(SEARCH("Junior",'4'!E73)),'4'!C73,"")</f>
        <v/>
      </c>
      <c r="AB238">
        <f>IF(AA238="",0,IF(COUNTIF($AA$1:AA238,AA238)=1,1,0))</f>
        <v>0</v>
      </c>
      <c r="AC238" t="str">
        <f>IF(AB238=1,COUNTIF($AB$1:AB238,1),"")</f>
        <v/>
      </c>
    </row>
    <row r="239" spans="27:29" x14ac:dyDescent="0.25">
      <c r="AA239" t="str">
        <f>IF(ISNUMBER(SEARCH("Junior",'4'!E74)),'4'!C74,"")</f>
        <v/>
      </c>
      <c r="AB239">
        <f>IF(AA239="",0,IF(COUNTIF($AA$1:AA239,AA239)=1,1,0))</f>
        <v>0</v>
      </c>
      <c r="AC239" t="str">
        <f>IF(AB239=1,COUNTIF($AB$1:AB239,1),"")</f>
        <v/>
      </c>
    </row>
    <row r="240" spans="27:29" x14ac:dyDescent="0.25">
      <c r="AA240" t="str">
        <f>IF(ISNUMBER(SEARCH("Junior",'4'!E75)),'4'!C75,"")</f>
        <v/>
      </c>
      <c r="AB240">
        <f>IF(AA240="",0,IF(COUNTIF($AA$1:AA240,AA240)=1,1,0))</f>
        <v>0</v>
      </c>
      <c r="AC240" t="str">
        <f>IF(AB240=1,COUNTIF($AB$1:AB240,1),"")</f>
        <v/>
      </c>
    </row>
    <row r="241" spans="27:29" x14ac:dyDescent="0.25">
      <c r="AA241" t="str">
        <f>IF(ISNUMBER(SEARCH("Junior",'4'!E76)),'4'!C76,"")</f>
        <v/>
      </c>
      <c r="AB241">
        <f>IF(AA241="",0,IF(COUNTIF($AA$1:AA241,AA241)=1,1,0))</f>
        <v>0</v>
      </c>
      <c r="AC241" t="str">
        <f>IF(AB241=1,COUNTIF($AB$1:AB241,1),"")</f>
        <v/>
      </c>
    </row>
    <row r="242" spans="27:29" x14ac:dyDescent="0.25">
      <c r="AA242" t="str">
        <f>IF(ISNUMBER(SEARCH("Junior",'4'!E77)),'4'!C77,"")</f>
        <v/>
      </c>
      <c r="AB242">
        <f>IF(AA242="",0,IF(COUNTIF($AA$1:AA242,AA242)=1,1,0))</f>
        <v>0</v>
      </c>
      <c r="AC242" t="str">
        <f>IF(AB242=1,COUNTIF($AB$1:AB242,1),"")</f>
        <v/>
      </c>
    </row>
    <row r="243" spans="27:29" x14ac:dyDescent="0.25">
      <c r="AA243" t="str">
        <f>IF(ISNUMBER(SEARCH("Junior",'4'!E78)),'4'!C78,"")</f>
        <v/>
      </c>
      <c r="AB243">
        <f>IF(AA243="",0,IF(COUNTIF($AA$1:AA243,AA243)=1,1,0))</f>
        <v>0</v>
      </c>
      <c r="AC243" t="str">
        <f>IF(AB243=1,COUNTIF($AB$1:AB243,1),"")</f>
        <v/>
      </c>
    </row>
    <row r="244" spans="27:29" x14ac:dyDescent="0.25">
      <c r="AA244" t="str">
        <f>IF(ISNUMBER(SEARCH("Junior",'4'!E79)),'4'!C79,"")</f>
        <v/>
      </c>
      <c r="AB244">
        <f>IF(AA244="",0,IF(COUNTIF($AA$1:AA244,AA244)=1,1,0))</f>
        <v>0</v>
      </c>
      <c r="AC244" t="str">
        <f>IF(AB244=1,COUNTIF($AB$1:AB244,1),"")</f>
        <v/>
      </c>
    </row>
    <row r="245" spans="27:29" x14ac:dyDescent="0.25">
      <c r="AA245" t="str">
        <f>IF(ISNUMBER(SEARCH("Junior",'4'!E80)),'4'!C80,"")</f>
        <v/>
      </c>
      <c r="AB245">
        <f>IF(AA245="",0,IF(COUNTIF($AA$1:AA245,AA245)=1,1,0))</f>
        <v>0</v>
      </c>
      <c r="AC245" t="str">
        <f>IF(AB245=1,COUNTIF($AB$1:AB245,1),"")</f>
        <v/>
      </c>
    </row>
    <row r="246" spans="27:29" x14ac:dyDescent="0.25">
      <c r="AA246" t="str">
        <f>IF(ISNUMBER(SEARCH("Junior",'4'!E81)),'4'!C81,"")</f>
        <v/>
      </c>
      <c r="AB246">
        <f>IF(AA246="",0,IF(COUNTIF($AA$1:AA246,AA246)=1,1,0))</f>
        <v>0</v>
      </c>
      <c r="AC246" t="str">
        <f>IF(AB246=1,COUNTIF($AB$1:AB246,1),"")</f>
        <v/>
      </c>
    </row>
    <row r="247" spans="27:29" x14ac:dyDescent="0.25">
      <c r="AA247" t="str">
        <f>IF(ISNUMBER(SEARCH("Junior",'4'!E82)),'4'!C82,"")</f>
        <v/>
      </c>
      <c r="AB247">
        <f>IF(AA247="",0,IF(COUNTIF($AA$1:AA247,AA247)=1,1,0))</f>
        <v>0</v>
      </c>
      <c r="AC247" t="str">
        <f>IF(AB247=1,COUNTIF($AB$1:AB247,1),"")</f>
        <v/>
      </c>
    </row>
    <row r="248" spans="27:29" x14ac:dyDescent="0.25">
      <c r="AA248" t="str">
        <f>IF(ISNUMBER(SEARCH("Junior",'4'!E83)),'4'!C83,"")</f>
        <v/>
      </c>
      <c r="AB248">
        <f>IF(AA248="",0,IF(COUNTIF($AA$1:AA248,AA248)=1,1,0))</f>
        <v>0</v>
      </c>
      <c r="AC248" t="str">
        <f>IF(AB248=1,COUNTIF($AB$1:AB248,1),"")</f>
        <v/>
      </c>
    </row>
    <row r="249" spans="27:29" x14ac:dyDescent="0.25">
      <c r="AA249" t="str">
        <f>IF(ISNUMBER(SEARCH("Junior",'4'!E84)),'4'!C84,"")</f>
        <v/>
      </c>
      <c r="AB249">
        <f>IF(AA249="",0,IF(COUNTIF($AA$1:AA249,AA249)=1,1,0))</f>
        <v>0</v>
      </c>
      <c r="AC249" t="str">
        <f>IF(AB249=1,COUNTIF($AB$1:AB249,1),"")</f>
        <v/>
      </c>
    </row>
    <row r="250" spans="27:29" x14ac:dyDescent="0.25">
      <c r="AA250" t="str">
        <f>IF(ISNUMBER(SEARCH("Junior",'4'!E85)),'4'!C85,"")</f>
        <v/>
      </c>
      <c r="AB250">
        <f>IF(AA250="",0,IF(COUNTIF($AA$1:AA250,AA250)=1,1,0))</f>
        <v>0</v>
      </c>
      <c r="AC250" t="str">
        <f>IF(AB250=1,COUNTIF($AB$1:AB250,1),"")</f>
        <v/>
      </c>
    </row>
    <row r="251" spans="27:29" x14ac:dyDescent="0.25">
      <c r="AA251" t="str">
        <f>IF(ISNUMBER(SEARCH("Junior",'4'!E86)),'4'!C86,"")</f>
        <v/>
      </c>
      <c r="AB251">
        <f>IF(AA251="",0,IF(COUNTIF($AA$1:AA251,AA251)=1,1,0))</f>
        <v>0</v>
      </c>
      <c r="AC251" t="str">
        <f>IF(AB251=1,COUNTIF($AB$1:AB251,1),"")</f>
        <v/>
      </c>
    </row>
    <row r="252" spans="27:29" x14ac:dyDescent="0.25">
      <c r="AA252" t="str">
        <f>IF(ISNUMBER(SEARCH("Junior",'4'!E87)),'4'!C87,"")</f>
        <v/>
      </c>
      <c r="AB252">
        <f>IF(AA252="",0,IF(COUNTIF($AA$1:AA252,AA252)=1,1,0))</f>
        <v>0</v>
      </c>
      <c r="AC252" t="str">
        <f>IF(AB252=1,COUNTIF($AB$1:AB252,1),"")</f>
        <v/>
      </c>
    </row>
    <row r="253" spans="27:29" x14ac:dyDescent="0.25">
      <c r="AA253" t="str">
        <f>IF(ISNUMBER(SEARCH("Junior",'4'!E88)),'4'!C88,"")</f>
        <v/>
      </c>
      <c r="AB253">
        <f>IF(AA253="",0,IF(COUNTIF($AA$1:AA253,AA253)=1,1,0))</f>
        <v>0</v>
      </c>
      <c r="AC253" t="str">
        <f>IF(AB253=1,COUNTIF($AB$1:AB253,1),"")</f>
        <v/>
      </c>
    </row>
    <row r="254" spans="27:29" x14ac:dyDescent="0.25">
      <c r="AA254" t="str">
        <f>IF(ISNUMBER(SEARCH("Junior",'4'!E89)),'4'!C89,"")</f>
        <v/>
      </c>
      <c r="AB254">
        <f>IF(AA254="",0,IF(COUNTIF($AA$1:AA254,AA254)=1,1,0))</f>
        <v>0</v>
      </c>
      <c r="AC254" t="str">
        <f>IF(AB254=1,COUNTIF($AB$1:AB254,1),"")</f>
        <v/>
      </c>
    </row>
    <row r="255" spans="27:29" x14ac:dyDescent="0.25">
      <c r="AA255" t="str">
        <f>IF(ISNUMBER(SEARCH("Junior",'4'!E90)),'4'!C90,"")</f>
        <v/>
      </c>
      <c r="AB255">
        <f>IF(AA255="",0,IF(COUNTIF($AA$1:AA255,AA255)=1,1,0))</f>
        <v>0</v>
      </c>
      <c r="AC255" t="str">
        <f>IF(AB255=1,COUNTIF($AB$1:AB255,1),"")</f>
        <v/>
      </c>
    </row>
    <row r="256" spans="27:29" x14ac:dyDescent="0.25">
      <c r="AA256" t="str">
        <f>IF(ISNUMBER(SEARCH("Junior",'4'!E91)),'4'!C91,"")</f>
        <v/>
      </c>
      <c r="AB256">
        <f>IF(AA256="",0,IF(COUNTIF($AA$1:AA256,AA256)=1,1,0))</f>
        <v>0</v>
      </c>
      <c r="AC256" t="str">
        <f>IF(AB256=1,COUNTIF($AB$1:AB256,1),"")</f>
        <v/>
      </c>
    </row>
    <row r="257" spans="27:29" x14ac:dyDescent="0.25">
      <c r="AA257" t="str">
        <f>IF(ISNUMBER(SEARCH("Junior",'4'!E92)),'4'!C92,"")</f>
        <v/>
      </c>
      <c r="AB257">
        <f>IF(AA257="",0,IF(COUNTIF($AA$1:AA257,AA257)=1,1,0))</f>
        <v>0</v>
      </c>
      <c r="AC257" t="str">
        <f>IF(AB257=1,COUNTIF($AB$1:AB257,1),"")</f>
        <v/>
      </c>
    </row>
    <row r="258" spans="27:29" x14ac:dyDescent="0.25">
      <c r="AA258" t="str">
        <f>IF(ISNUMBER(SEARCH("Junior",'4'!E93)),'4'!C93,"")</f>
        <v/>
      </c>
      <c r="AB258">
        <f>IF(AA258="",0,IF(COUNTIF($AA$1:AA258,AA258)=1,1,0))</f>
        <v>0</v>
      </c>
      <c r="AC258" t="str">
        <f>IF(AB258=1,COUNTIF($AB$1:AB258,1),"")</f>
        <v/>
      </c>
    </row>
    <row r="259" spans="27:29" x14ac:dyDescent="0.25">
      <c r="AA259" t="str">
        <f>IF(ISNUMBER(SEARCH("Junior",'4'!E94)),'4'!C94,"")</f>
        <v/>
      </c>
      <c r="AB259">
        <f>IF(AA259="",0,IF(COUNTIF($AA$1:AA259,AA259)=1,1,0))</f>
        <v>0</v>
      </c>
      <c r="AC259" t="str">
        <f>IF(AB259=1,COUNTIF($AB$1:AB259,1),"")</f>
        <v/>
      </c>
    </row>
    <row r="260" spans="27:29" x14ac:dyDescent="0.25">
      <c r="AA260" t="str">
        <f>IF(ISNUMBER(SEARCH("Junior",'4'!E95)),'4'!C95,"")</f>
        <v/>
      </c>
      <c r="AB260">
        <f>IF(AA260="",0,IF(COUNTIF($AA$1:AA260,AA260)=1,1,0))</f>
        <v>0</v>
      </c>
      <c r="AC260" t="str">
        <f>IF(AB260=1,COUNTIF($AB$1:AB260,1),"")</f>
        <v/>
      </c>
    </row>
    <row r="261" spans="27:29" x14ac:dyDescent="0.25">
      <c r="AA261" t="str">
        <f>IF(ISNUMBER(SEARCH("Junior",'4'!E96)),'4'!C96,"")</f>
        <v/>
      </c>
      <c r="AB261">
        <f>IF(AA261="",0,IF(COUNTIF($AA$1:AA261,AA261)=1,1,0))</f>
        <v>0</v>
      </c>
      <c r="AC261" t="str">
        <f>IF(AB261=1,COUNTIF($AB$1:AB261,1),"")</f>
        <v/>
      </c>
    </row>
    <row r="262" spans="27:29" x14ac:dyDescent="0.25">
      <c r="AA262" t="str">
        <f>IF(ISNUMBER(SEARCH("Junior",'4'!E97)),'4'!C97,"")</f>
        <v/>
      </c>
      <c r="AB262">
        <f>IF(AA262="",0,IF(COUNTIF($AA$1:AA262,AA262)=1,1,0))</f>
        <v>0</v>
      </c>
      <c r="AC262" t="str">
        <f>IF(AB262=1,COUNTIF($AB$1:AB262,1),"")</f>
        <v/>
      </c>
    </row>
    <row r="263" spans="27:29" x14ac:dyDescent="0.25">
      <c r="AA263" t="str">
        <f>IF(ISNUMBER(SEARCH("Junior",'4'!E98)),'4'!C98,"")</f>
        <v/>
      </c>
      <c r="AB263">
        <f>IF(AA263="",0,IF(COUNTIF($AA$1:AA263,AA263)=1,1,0))</f>
        <v>0</v>
      </c>
      <c r="AC263" t="str">
        <f>IF(AB263=1,COUNTIF($AB$1:AB263,1),"")</f>
        <v/>
      </c>
    </row>
    <row r="264" spans="27:29" x14ac:dyDescent="0.25">
      <c r="AA264" t="str">
        <f>IF(ISNUMBER(SEARCH("Junior",'4'!E99)),'4'!C99,"")</f>
        <v/>
      </c>
      <c r="AB264">
        <f>IF(AA264="",0,IF(COUNTIF($AA$1:AA264,AA264)=1,1,0))</f>
        <v>0</v>
      </c>
      <c r="AC264" t="str">
        <f>IF(AB264=1,COUNTIF($AB$1:AB264,1),"")</f>
        <v/>
      </c>
    </row>
    <row r="265" spans="27:29" x14ac:dyDescent="0.25">
      <c r="AA265" t="str">
        <f>IF(ISNUMBER(SEARCH("Junior",'4'!E100)),'4'!C100,"")</f>
        <v/>
      </c>
      <c r="AB265">
        <f>IF(AA265="",0,IF(COUNTIF($AA$1:AA265,AA265)=1,1,0))</f>
        <v>0</v>
      </c>
      <c r="AC265" t="str">
        <f>IF(AB265=1,COUNTIF($AB$1:AB265,1),"")</f>
        <v/>
      </c>
    </row>
    <row r="266" spans="27:29" x14ac:dyDescent="0.25">
      <c r="AA266" t="str">
        <f>IF(ISNUMBER(SEARCH("Junior",'4'!E101)),'4'!C101,"")</f>
        <v/>
      </c>
      <c r="AB266">
        <f>IF(AA266="",0,IF(COUNTIF($AA$1:AA266,AA266)=1,1,0))</f>
        <v>0</v>
      </c>
      <c r="AC266" t="str">
        <f>IF(AB266=1,COUNTIF($AB$1:AB266,1),"")</f>
        <v/>
      </c>
    </row>
    <row r="267" spans="27:29" x14ac:dyDescent="0.25">
      <c r="AA267" t="str">
        <f>IF(ISNUMBER(SEARCH("Junior",'4'!E102)),'4'!C102,"")</f>
        <v/>
      </c>
      <c r="AB267">
        <f>IF(AA267="",0,IF(COUNTIF($AA$1:AA267,AA267)=1,1,0))</f>
        <v>0</v>
      </c>
      <c r="AC267" t="str">
        <f>IF(AB267=1,COUNTIF($AB$1:AB267,1),"")</f>
        <v/>
      </c>
    </row>
    <row r="268" spans="27:29" x14ac:dyDescent="0.25">
      <c r="AA268" t="str">
        <f>IF(ISNUMBER(SEARCH("Junior",'4'!E103)),'4'!C103,"")</f>
        <v/>
      </c>
      <c r="AB268">
        <f>IF(AA268="",0,IF(COUNTIF($AA$1:AA268,AA268)=1,1,0))</f>
        <v>0</v>
      </c>
      <c r="AC268" t="str">
        <f>IF(AB268=1,COUNTIF($AB$1:AB268,1),"")</f>
        <v/>
      </c>
    </row>
    <row r="269" spans="27:29" x14ac:dyDescent="0.25">
      <c r="AA269" t="str">
        <f>IF(ISNUMBER(SEARCH("Junior",'5'!E4)),'5'!C4,"")</f>
        <v/>
      </c>
      <c r="AB269">
        <f>IF(AA269="",0,IF(COUNTIF($AA$1:AA269,AA269)=1,1,0))</f>
        <v>0</v>
      </c>
      <c r="AC269" t="str">
        <f>IF(AB269=1,COUNTIF($AB$1:AB269,1),"")</f>
        <v/>
      </c>
    </row>
    <row r="270" spans="27:29" x14ac:dyDescent="0.25">
      <c r="AA270" t="str">
        <f>IF(ISNUMBER(SEARCH("Junior",'5'!E5)),'5'!C5,"")</f>
        <v/>
      </c>
      <c r="AB270">
        <f>IF(AA270="",0,IF(COUNTIF($AA$1:AA270,AA270)=1,1,0))</f>
        <v>0</v>
      </c>
      <c r="AC270" t="str">
        <f>IF(AB270=1,COUNTIF($AB$1:AB270,1),"")</f>
        <v/>
      </c>
    </row>
    <row r="271" spans="27:29" x14ac:dyDescent="0.25">
      <c r="AA271" t="str">
        <f>IF(ISNUMBER(SEARCH("Junior",'5'!E6)),'5'!C6,"")</f>
        <v/>
      </c>
      <c r="AB271">
        <f>IF(AA271="",0,IF(COUNTIF($AA$1:AA271,AA271)=1,1,0))</f>
        <v>0</v>
      </c>
      <c r="AC271" t="str">
        <f>IF(AB271=1,COUNTIF($AB$1:AB271,1),"")</f>
        <v/>
      </c>
    </row>
    <row r="272" spans="27:29" x14ac:dyDescent="0.25">
      <c r="AA272" t="str">
        <f>IF(ISNUMBER(SEARCH("Junior",'5'!E7)),'5'!C7,"")</f>
        <v/>
      </c>
      <c r="AB272">
        <f>IF(AA272="",0,IF(COUNTIF($AA$1:AA272,AA272)=1,1,0))</f>
        <v>0</v>
      </c>
      <c r="AC272" t="str">
        <f>IF(AB272=1,COUNTIF($AB$1:AB272,1),"")</f>
        <v/>
      </c>
    </row>
    <row r="273" spans="27:29" x14ac:dyDescent="0.25">
      <c r="AA273" t="str">
        <f>IF(ISNUMBER(SEARCH("Junior",'5'!E8)),'5'!C8,"")</f>
        <v/>
      </c>
      <c r="AB273">
        <f>IF(AA273="",0,IF(COUNTIF($AA$1:AA273,AA273)=1,1,0))</f>
        <v>0</v>
      </c>
      <c r="AC273" t="str">
        <f>IF(AB273=1,COUNTIF($AB$1:AB273,1),"")</f>
        <v/>
      </c>
    </row>
    <row r="274" spans="27:29" x14ac:dyDescent="0.25">
      <c r="AA274" t="str">
        <f>IF(ISNUMBER(SEARCH("Junior",'5'!E9)),'5'!C9,"")</f>
        <v/>
      </c>
      <c r="AB274">
        <f>IF(AA274="",0,IF(COUNTIF($AA$1:AA274,AA274)=1,1,0))</f>
        <v>0</v>
      </c>
      <c r="AC274" t="str">
        <f>IF(AB274=1,COUNTIF($AB$1:AB274,1),"")</f>
        <v/>
      </c>
    </row>
    <row r="275" spans="27:29" x14ac:dyDescent="0.25">
      <c r="AA275" t="str">
        <f>IF(ISNUMBER(SEARCH("Junior",'5'!E10)),'5'!C10,"")</f>
        <v/>
      </c>
      <c r="AB275">
        <f>IF(AA275="",0,IF(COUNTIF($AA$1:AA275,AA275)=1,1,0))</f>
        <v>0</v>
      </c>
      <c r="AC275" t="str">
        <f>IF(AB275=1,COUNTIF($AB$1:AB275,1),"")</f>
        <v/>
      </c>
    </row>
    <row r="276" spans="27:29" x14ac:dyDescent="0.25">
      <c r="AA276" t="str">
        <f>IF(ISNUMBER(SEARCH("Junior",'5'!E11)),'5'!C11,"")</f>
        <v/>
      </c>
      <c r="AB276">
        <f>IF(AA276="",0,IF(COUNTIF($AA$1:AA276,AA276)=1,1,0))</f>
        <v>0</v>
      </c>
      <c r="AC276" t="str">
        <f>IF(AB276=1,COUNTIF($AB$1:AB276,1),"")</f>
        <v/>
      </c>
    </row>
    <row r="277" spans="27:29" x14ac:dyDescent="0.25">
      <c r="AA277" t="str">
        <f>IF(ISNUMBER(SEARCH("Junior",'5'!E12)),'5'!C12,"")</f>
        <v/>
      </c>
      <c r="AB277">
        <f>IF(AA277="",0,IF(COUNTIF($AA$1:AA277,AA277)=1,1,0))</f>
        <v>0</v>
      </c>
      <c r="AC277" t="str">
        <f>IF(AB277=1,COUNTIF($AB$1:AB277,1),"")</f>
        <v/>
      </c>
    </row>
    <row r="278" spans="27:29" x14ac:dyDescent="0.25">
      <c r="AA278" t="str">
        <f>IF(ISNUMBER(SEARCH("Junior",'5'!E13)),'5'!C13,"")</f>
        <v/>
      </c>
      <c r="AB278">
        <f>IF(AA278="",0,IF(COUNTIF($AA$1:AA278,AA278)=1,1,0))</f>
        <v>0</v>
      </c>
      <c r="AC278" t="str">
        <f>IF(AB278=1,COUNTIF($AB$1:AB278,1),"")</f>
        <v/>
      </c>
    </row>
    <row r="279" spans="27:29" x14ac:dyDescent="0.25">
      <c r="AA279" t="str">
        <f>IF(ISNUMBER(SEARCH("Junior",'5'!E14)),'5'!C14,"")</f>
        <v/>
      </c>
      <c r="AB279">
        <f>IF(AA279="",0,IF(COUNTIF($AA$1:AA279,AA279)=1,1,0))</f>
        <v>0</v>
      </c>
      <c r="AC279" t="str">
        <f>IF(AB279=1,COUNTIF($AB$1:AB279,1),"")</f>
        <v/>
      </c>
    </row>
    <row r="280" spans="27:29" x14ac:dyDescent="0.25">
      <c r="AA280" t="str">
        <f>IF(ISNUMBER(SEARCH("Junior",'5'!E15)),'5'!C15,"")</f>
        <v/>
      </c>
      <c r="AB280">
        <f>IF(AA280="",0,IF(COUNTIF($AA$1:AA280,AA280)=1,1,0))</f>
        <v>0</v>
      </c>
      <c r="AC280" t="str">
        <f>IF(AB280=1,COUNTIF($AB$1:AB280,1),"")</f>
        <v/>
      </c>
    </row>
    <row r="281" spans="27:29" x14ac:dyDescent="0.25">
      <c r="AA281" t="str">
        <f>IF(ISNUMBER(SEARCH("Junior",'5'!E16)),'5'!C16,"")</f>
        <v/>
      </c>
      <c r="AB281">
        <f>IF(AA281="",0,IF(COUNTIF($AA$1:AA281,AA281)=1,1,0))</f>
        <v>0</v>
      </c>
      <c r="AC281" t="str">
        <f>IF(AB281=1,COUNTIF($AB$1:AB281,1),"")</f>
        <v/>
      </c>
    </row>
    <row r="282" spans="27:29" x14ac:dyDescent="0.25">
      <c r="AA282" t="str">
        <f>IF(ISNUMBER(SEARCH("Junior",'5'!E17)),'5'!C17,"")</f>
        <v/>
      </c>
      <c r="AB282">
        <f>IF(AA282="",0,IF(COUNTIF($AA$1:AA282,AA282)=1,1,0))</f>
        <v>0</v>
      </c>
      <c r="AC282" t="str">
        <f>IF(AB282=1,COUNTIF($AB$1:AB282,1),"")</f>
        <v/>
      </c>
    </row>
    <row r="283" spans="27:29" x14ac:dyDescent="0.25">
      <c r="AA283" t="str">
        <f>IF(ISNUMBER(SEARCH("Junior",'5'!E18)),'5'!C18,"")</f>
        <v/>
      </c>
      <c r="AB283">
        <f>IF(AA283="",0,IF(COUNTIF($AA$1:AA283,AA283)=1,1,0))</f>
        <v>0</v>
      </c>
      <c r="AC283" t="str">
        <f>IF(AB283=1,COUNTIF($AB$1:AB283,1),"")</f>
        <v/>
      </c>
    </row>
    <row r="284" spans="27:29" x14ac:dyDescent="0.25">
      <c r="AA284" t="str">
        <f>IF(ISNUMBER(SEARCH("Junior",'5'!E19)),'5'!C19,"")</f>
        <v/>
      </c>
      <c r="AB284">
        <f>IF(AA284="",0,IF(COUNTIF($AA$1:AA284,AA284)=1,1,0))</f>
        <v>0</v>
      </c>
      <c r="AC284" t="str">
        <f>IF(AB284=1,COUNTIF($AB$1:AB284,1),"")</f>
        <v/>
      </c>
    </row>
    <row r="285" spans="27:29" x14ac:dyDescent="0.25">
      <c r="AA285" t="str">
        <f>IF(ISNUMBER(SEARCH("Junior",'5'!E20)),'5'!C20,"")</f>
        <v/>
      </c>
      <c r="AB285">
        <f>IF(AA285="",0,IF(COUNTIF($AA$1:AA285,AA285)=1,1,0))</f>
        <v>0</v>
      </c>
      <c r="AC285" t="str">
        <f>IF(AB285=1,COUNTIF($AB$1:AB285,1),"")</f>
        <v/>
      </c>
    </row>
    <row r="286" spans="27:29" x14ac:dyDescent="0.25">
      <c r="AA286" t="str">
        <f>IF(ISNUMBER(SEARCH("Junior",'5'!E21)),'5'!C21,"")</f>
        <v/>
      </c>
      <c r="AB286">
        <f>IF(AA286="",0,IF(COUNTIF($AA$1:AA286,AA286)=1,1,0))</f>
        <v>0</v>
      </c>
      <c r="AC286" t="str">
        <f>IF(AB286=1,COUNTIF($AB$1:AB286,1),"")</f>
        <v/>
      </c>
    </row>
    <row r="287" spans="27:29" x14ac:dyDescent="0.25">
      <c r="AA287" t="str">
        <f>IF(ISNUMBER(SEARCH("Junior",'5'!E22)),'5'!C22,"")</f>
        <v/>
      </c>
      <c r="AB287">
        <f>IF(AA287="",0,IF(COUNTIF($AA$1:AA287,AA287)=1,1,0))</f>
        <v>0</v>
      </c>
      <c r="AC287" t="str">
        <f>IF(AB287=1,COUNTIF($AB$1:AB287,1),"")</f>
        <v/>
      </c>
    </row>
    <row r="288" spans="27:29" x14ac:dyDescent="0.25">
      <c r="AA288" t="str">
        <f>IF(ISNUMBER(SEARCH("Junior",'5'!E23)),'5'!C23,"")</f>
        <v/>
      </c>
      <c r="AB288">
        <f>IF(AA288="",0,IF(COUNTIF($AA$1:AA288,AA288)=1,1,0))</f>
        <v>0</v>
      </c>
      <c r="AC288" t="str">
        <f>IF(AB288=1,COUNTIF($AB$1:AB288,1),"")</f>
        <v/>
      </c>
    </row>
    <row r="289" spans="27:29" x14ac:dyDescent="0.25">
      <c r="AA289" t="str">
        <f>IF(ISNUMBER(SEARCH("Junior",'5'!E24)),'5'!C24,"")</f>
        <v/>
      </c>
      <c r="AB289">
        <f>IF(AA289="",0,IF(COUNTIF($AA$1:AA289,AA289)=1,1,0))</f>
        <v>0</v>
      </c>
      <c r="AC289" t="str">
        <f>IF(AB289=1,COUNTIF($AB$1:AB289,1),"")</f>
        <v/>
      </c>
    </row>
    <row r="290" spans="27:29" x14ac:dyDescent="0.25">
      <c r="AA290" t="str">
        <f>IF(ISNUMBER(SEARCH("Junior",'5'!E25)),'5'!C25,"")</f>
        <v/>
      </c>
      <c r="AB290">
        <f>IF(AA290="",0,IF(COUNTIF($AA$1:AA290,AA290)=1,1,0))</f>
        <v>0</v>
      </c>
      <c r="AC290" t="str">
        <f>IF(AB290=1,COUNTIF($AB$1:AB290,1),"")</f>
        <v/>
      </c>
    </row>
    <row r="291" spans="27:29" x14ac:dyDescent="0.25">
      <c r="AA291" t="str">
        <f>IF(ISNUMBER(SEARCH("Junior",'5'!E26)),'5'!C26,"")</f>
        <v/>
      </c>
      <c r="AB291">
        <f>IF(AA291="",0,IF(COUNTIF($AA$1:AA291,AA291)=1,1,0))</f>
        <v>0</v>
      </c>
      <c r="AC291" t="str">
        <f>IF(AB291=1,COUNTIF($AB$1:AB291,1),"")</f>
        <v/>
      </c>
    </row>
    <row r="292" spans="27:29" x14ac:dyDescent="0.25">
      <c r="AA292" t="str">
        <f>IF(ISNUMBER(SEARCH("Junior",'5'!E27)),'5'!C27,"")</f>
        <v/>
      </c>
      <c r="AB292">
        <f>IF(AA292="",0,IF(COUNTIF($AA$1:AA292,AA292)=1,1,0))</f>
        <v>0</v>
      </c>
      <c r="AC292" t="str">
        <f>IF(AB292=1,COUNTIF($AB$1:AB292,1),"")</f>
        <v/>
      </c>
    </row>
    <row r="293" spans="27:29" x14ac:dyDescent="0.25">
      <c r="AA293" t="str">
        <f>IF(ISNUMBER(SEARCH("Junior",'5'!E28)),'5'!C28,"")</f>
        <v/>
      </c>
      <c r="AB293">
        <f>IF(AA293="",0,IF(COUNTIF($AA$1:AA293,AA293)=1,1,0))</f>
        <v>0</v>
      </c>
      <c r="AC293" t="str">
        <f>IF(AB293=1,COUNTIF($AB$1:AB293,1),"")</f>
        <v/>
      </c>
    </row>
    <row r="294" spans="27:29" x14ac:dyDescent="0.25">
      <c r="AA294" t="str">
        <f>IF(ISNUMBER(SEARCH("Junior",'5'!E29)),'5'!C29,"")</f>
        <v/>
      </c>
      <c r="AB294">
        <f>IF(AA294="",0,IF(COUNTIF($AA$1:AA294,AA294)=1,1,0))</f>
        <v>0</v>
      </c>
      <c r="AC294" t="str">
        <f>IF(AB294=1,COUNTIF($AB$1:AB294,1),"")</f>
        <v/>
      </c>
    </row>
    <row r="295" spans="27:29" x14ac:dyDescent="0.25">
      <c r="AA295" t="str">
        <f>IF(ISNUMBER(SEARCH("Junior",'5'!E30)),'5'!C30,"")</f>
        <v/>
      </c>
      <c r="AB295">
        <f>IF(AA295="",0,IF(COUNTIF($AA$1:AA295,AA295)=1,1,0))</f>
        <v>0</v>
      </c>
      <c r="AC295" t="str">
        <f>IF(AB295=1,COUNTIF($AB$1:AB295,1),"")</f>
        <v/>
      </c>
    </row>
    <row r="296" spans="27:29" x14ac:dyDescent="0.25">
      <c r="AA296" t="str">
        <f>IF(ISNUMBER(SEARCH("Junior",'5'!E31)),'5'!C31,"")</f>
        <v/>
      </c>
      <c r="AB296">
        <f>IF(AA296="",0,IF(COUNTIF($AA$1:AA296,AA296)=1,1,0))</f>
        <v>0</v>
      </c>
      <c r="AC296" t="str">
        <f>IF(AB296=1,COUNTIF($AB$1:AB296,1),"")</f>
        <v/>
      </c>
    </row>
    <row r="297" spans="27:29" x14ac:dyDescent="0.25">
      <c r="AA297" t="str">
        <f>IF(ISNUMBER(SEARCH("Junior",'5'!E32)),'5'!C32,"")</f>
        <v/>
      </c>
      <c r="AB297">
        <f>IF(AA297="",0,IF(COUNTIF($AA$1:AA297,AA297)=1,1,0))</f>
        <v>0</v>
      </c>
      <c r="AC297" t="str">
        <f>IF(AB297=1,COUNTIF($AB$1:AB297,1),"")</f>
        <v/>
      </c>
    </row>
    <row r="298" spans="27:29" x14ac:dyDescent="0.25">
      <c r="AA298" t="str">
        <f>IF(ISNUMBER(SEARCH("Junior",'5'!E33)),'5'!C33,"")</f>
        <v/>
      </c>
      <c r="AB298">
        <f>IF(AA298="",0,IF(COUNTIF($AA$1:AA298,AA298)=1,1,0))</f>
        <v>0</v>
      </c>
      <c r="AC298" t="str">
        <f>IF(AB298=1,COUNTIF($AB$1:AB298,1),"")</f>
        <v/>
      </c>
    </row>
    <row r="299" spans="27:29" x14ac:dyDescent="0.25">
      <c r="AA299" t="str">
        <f>IF(ISNUMBER(SEARCH("Junior",'5'!E34)),'5'!C34,"")</f>
        <v/>
      </c>
      <c r="AB299">
        <f>IF(AA299="",0,IF(COUNTIF($AA$1:AA299,AA299)=1,1,0))</f>
        <v>0</v>
      </c>
      <c r="AC299" t="str">
        <f>IF(AB299=1,COUNTIF($AB$1:AB299,1),"")</f>
        <v/>
      </c>
    </row>
    <row r="300" spans="27:29" x14ac:dyDescent="0.25">
      <c r="AA300" t="str">
        <f>IF(ISNUMBER(SEARCH("Junior",'5'!E35)),'5'!C35,"")</f>
        <v/>
      </c>
      <c r="AB300">
        <f>IF(AA300="",0,IF(COUNTIF($AA$1:AA300,AA300)=1,1,0))</f>
        <v>0</v>
      </c>
      <c r="AC300" t="str">
        <f>IF(AB300=1,COUNTIF($AB$1:AB300,1),"")</f>
        <v/>
      </c>
    </row>
    <row r="301" spans="27:29" x14ac:dyDescent="0.25">
      <c r="AA301" t="str">
        <f>IF(ISNUMBER(SEARCH("Junior",'5'!E36)),'5'!C36,"")</f>
        <v/>
      </c>
      <c r="AB301">
        <f>IF(AA301="",0,IF(COUNTIF($AA$1:AA301,AA301)=1,1,0))</f>
        <v>0</v>
      </c>
      <c r="AC301" t="str">
        <f>IF(AB301=1,COUNTIF($AB$1:AB301,1),"")</f>
        <v/>
      </c>
    </row>
    <row r="302" spans="27:29" x14ac:dyDescent="0.25">
      <c r="AA302" t="str">
        <f>IF(ISNUMBER(SEARCH("Junior",'5'!E37)),'5'!C37,"")</f>
        <v/>
      </c>
      <c r="AB302">
        <f>IF(AA302="",0,IF(COUNTIF($AA$1:AA302,AA302)=1,1,0))</f>
        <v>0</v>
      </c>
      <c r="AC302" t="str">
        <f>IF(AB302=1,COUNTIF($AB$1:AB302,1),"")</f>
        <v/>
      </c>
    </row>
    <row r="303" spans="27:29" x14ac:dyDescent="0.25">
      <c r="AA303" t="str">
        <f>IF(ISNUMBER(SEARCH("Junior",'5'!E38)),'5'!C38,"")</f>
        <v/>
      </c>
      <c r="AB303">
        <f>IF(AA303="",0,IF(COUNTIF($AA$1:AA303,AA303)=1,1,0))</f>
        <v>0</v>
      </c>
      <c r="AC303" t="str">
        <f>IF(AB303=1,COUNTIF($AB$1:AB303,1),"")</f>
        <v/>
      </c>
    </row>
    <row r="304" spans="27:29" x14ac:dyDescent="0.25">
      <c r="AA304" t="str">
        <f>IF(ISNUMBER(SEARCH("Junior",'5'!E39)),'5'!C39,"")</f>
        <v/>
      </c>
      <c r="AB304">
        <f>IF(AA304="",0,IF(COUNTIF($AA$1:AA304,AA304)=1,1,0))</f>
        <v>0</v>
      </c>
      <c r="AC304" t="str">
        <f>IF(AB304=1,COUNTIF($AB$1:AB304,1),"")</f>
        <v/>
      </c>
    </row>
    <row r="305" spans="27:29" x14ac:dyDescent="0.25">
      <c r="AA305" t="str">
        <f>IF(ISNUMBER(SEARCH("Junior",'5'!E40)),'5'!C40,"")</f>
        <v/>
      </c>
      <c r="AB305">
        <f>IF(AA305="",0,IF(COUNTIF($AA$1:AA305,AA305)=1,1,0))</f>
        <v>0</v>
      </c>
      <c r="AC305" t="str">
        <f>IF(AB305=1,COUNTIF($AB$1:AB305,1),"")</f>
        <v/>
      </c>
    </row>
    <row r="306" spans="27:29" x14ac:dyDescent="0.25">
      <c r="AA306" t="str">
        <f>IF(ISNUMBER(SEARCH("Junior",'5'!E41)),'5'!C41,"")</f>
        <v/>
      </c>
      <c r="AB306">
        <f>IF(AA306="",0,IF(COUNTIF($AA$1:AA306,AA306)=1,1,0))</f>
        <v>0</v>
      </c>
      <c r="AC306" t="str">
        <f>IF(AB306=1,COUNTIF($AB$1:AB306,1),"")</f>
        <v/>
      </c>
    </row>
    <row r="307" spans="27:29" x14ac:dyDescent="0.25">
      <c r="AA307" t="str">
        <f>IF(ISNUMBER(SEARCH("Junior",'5'!E42)),'5'!C42,"")</f>
        <v/>
      </c>
      <c r="AB307">
        <f>IF(AA307="",0,IF(COUNTIF($AA$1:AA307,AA307)=1,1,0))</f>
        <v>0</v>
      </c>
      <c r="AC307" t="str">
        <f>IF(AB307=1,COUNTIF($AB$1:AB307,1),"")</f>
        <v/>
      </c>
    </row>
    <row r="308" spans="27:29" x14ac:dyDescent="0.25">
      <c r="AA308" t="str">
        <f>IF(ISNUMBER(SEARCH("Junior",'5'!E43)),'5'!C43,"")</f>
        <v/>
      </c>
      <c r="AB308">
        <f>IF(AA308="",0,IF(COUNTIF($AA$1:AA308,AA308)=1,1,0))</f>
        <v>0</v>
      </c>
      <c r="AC308" t="str">
        <f>IF(AB308=1,COUNTIF($AB$1:AB308,1),"")</f>
        <v/>
      </c>
    </row>
    <row r="309" spans="27:29" x14ac:dyDescent="0.25">
      <c r="AA309" t="str">
        <f>IF(ISNUMBER(SEARCH("Junior",'5'!E44)),'5'!C44,"")</f>
        <v/>
      </c>
      <c r="AB309">
        <f>IF(AA309="",0,IF(COUNTIF($AA$1:AA309,AA309)=1,1,0))</f>
        <v>0</v>
      </c>
      <c r="AC309" t="str">
        <f>IF(AB309=1,COUNTIF($AB$1:AB309,1),"")</f>
        <v/>
      </c>
    </row>
    <row r="310" spans="27:29" x14ac:dyDescent="0.25">
      <c r="AA310" t="str">
        <f>IF(ISNUMBER(SEARCH("Junior",'5'!E45)),'5'!C45,"")</f>
        <v/>
      </c>
      <c r="AB310">
        <f>IF(AA310="",0,IF(COUNTIF($AA$1:AA310,AA310)=1,1,0))</f>
        <v>0</v>
      </c>
      <c r="AC310" t="str">
        <f>IF(AB310=1,COUNTIF($AB$1:AB310,1),"")</f>
        <v/>
      </c>
    </row>
    <row r="311" spans="27:29" x14ac:dyDescent="0.25">
      <c r="AA311" t="str">
        <f>IF(ISNUMBER(SEARCH("Junior",'5'!E46)),'5'!C46,"")</f>
        <v/>
      </c>
      <c r="AB311">
        <f>IF(AA311="",0,IF(COUNTIF($AA$1:AA311,AA311)=1,1,0))</f>
        <v>0</v>
      </c>
      <c r="AC311" t="str">
        <f>IF(AB311=1,COUNTIF($AB$1:AB311,1),"")</f>
        <v/>
      </c>
    </row>
    <row r="312" spans="27:29" x14ac:dyDescent="0.25">
      <c r="AA312" t="str">
        <f>IF(ISNUMBER(SEARCH("Junior",'5'!E47)),'5'!C47,"")</f>
        <v/>
      </c>
      <c r="AB312">
        <f>IF(AA312="",0,IF(COUNTIF($AA$1:AA312,AA312)=1,1,0))</f>
        <v>0</v>
      </c>
      <c r="AC312" t="str">
        <f>IF(AB312=1,COUNTIF($AB$1:AB312,1),"")</f>
        <v/>
      </c>
    </row>
    <row r="313" spans="27:29" x14ac:dyDescent="0.25">
      <c r="AA313" t="str">
        <f>IF(ISNUMBER(SEARCH("Junior",'5'!E48)),'5'!C48,"")</f>
        <v/>
      </c>
      <c r="AB313">
        <f>IF(AA313="",0,IF(COUNTIF($AA$1:AA313,AA313)=1,1,0))</f>
        <v>0</v>
      </c>
      <c r="AC313" t="str">
        <f>IF(AB313=1,COUNTIF($AB$1:AB313,1),"")</f>
        <v/>
      </c>
    </row>
    <row r="314" spans="27:29" x14ac:dyDescent="0.25">
      <c r="AA314" t="str">
        <f>IF(ISNUMBER(SEARCH("Junior",'5'!E49)),'5'!C49,"")</f>
        <v/>
      </c>
      <c r="AB314">
        <f>IF(AA314="",0,IF(COUNTIF($AA$1:AA314,AA314)=1,1,0))</f>
        <v>0</v>
      </c>
      <c r="AC314" t="str">
        <f>IF(AB314=1,COUNTIF($AB$1:AB314,1),"")</f>
        <v/>
      </c>
    </row>
    <row r="315" spans="27:29" x14ac:dyDescent="0.25">
      <c r="AA315" t="str">
        <f>IF(ISNUMBER(SEARCH("Junior",'5'!E50)),'5'!C50,"")</f>
        <v/>
      </c>
      <c r="AB315">
        <f>IF(AA315="",0,IF(COUNTIF($AA$1:AA315,AA315)=1,1,0))</f>
        <v>0</v>
      </c>
      <c r="AC315" t="str">
        <f>IF(AB315=1,COUNTIF($AB$1:AB315,1),"")</f>
        <v/>
      </c>
    </row>
    <row r="316" spans="27:29" x14ac:dyDescent="0.25">
      <c r="AA316" t="str">
        <f>IF(ISNUMBER(SEARCH("Junior",'5'!E51)),'5'!C51,"")</f>
        <v/>
      </c>
      <c r="AB316">
        <f>IF(AA316="",0,IF(COUNTIF($AA$1:AA316,AA316)=1,1,0))</f>
        <v>0</v>
      </c>
      <c r="AC316" t="str">
        <f>IF(AB316=1,COUNTIF($AB$1:AB316,1),"")</f>
        <v/>
      </c>
    </row>
    <row r="317" spans="27:29" x14ac:dyDescent="0.25">
      <c r="AA317" t="str">
        <f>IF(ISNUMBER(SEARCH("Junior",'5'!E52)),'5'!C52,"")</f>
        <v/>
      </c>
      <c r="AB317">
        <f>IF(AA317="",0,IF(COUNTIF($AA$1:AA317,AA317)=1,1,0))</f>
        <v>0</v>
      </c>
      <c r="AC317" t="str">
        <f>IF(AB317=1,COUNTIF($AB$1:AB317,1),"")</f>
        <v/>
      </c>
    </row>
    <row r="318" spans="27:29" x14ac:dyDescent="0.25">
      <c r="AA318" t="str">
        <f>IF(ISNUMBER(SEARCH("Junior",'5'!E53)),'5'!C53,"")</f>
        <v/>
      </c>
      <c r="AB318">
        <f>IF(AA318="",0,IF(COUNTIF($AA$1:AA318,AA318)=1,1,0))</f>
        <v>0</v>
      </c>
      <c r="AC318" t="str">
        <f>IF(AB318=1,COUNTIF($AB$1:AB318,1),"")</f>
        <v/>
      </c>
    </row>
    <row r="319" spans="27:29" x14ac:dyDescent="0.25">
      <c r="AA319" t="str">
        <f>IF(ISNUMBER(SEARCH("Junior",'5'!E54)),'5'!C54,"")</f>
        <v/>
      </c>
      <c r="AB319">
        <f>IF(AA319="",0,IF(COUNTIF($AA$1:AA319,AA319)=1,1,0))</f>
        <v>0</v>
      </c>
      <c r="AC319" t="str">
        <f>IF(AB319=1,COUNTIF($AB$1:AB319,1),"")</f>
        <v/>
      </c>
    </row>
    <row r="320" spans="27:29" x14ac:dyDescent="0.25">
      <c r="AA320" t="str">
        <f>IF(ISNUMBER(SEARCH("Junior",'5'!E55)),'5'!C55,"")</f>
        <v/>
      </c>
      <c r="AB320">
        <f>IF(AA320="",0,IF(COUNTIF($AA$1:AA320,AA320)=1,1,0))</f>
        <v>0</v>
      </c>
      <c r="AC320" t="str">
        <f>IF(AB320=1,COUNTIF($AB$1:AB320,1),"")</f>
        <v/>
      </c>
    </row>
    <row r="321" spans="27:29" x14ac:dyDescent="0.25">
      <c r="AA321" t="str">
        <f>IF(ISNUMBER(SEARCH("Junior",'5'!E56)),'5'!C56,"")</f>
        <v/>
      </c>
      <c r="AB321">
        <f>IF(AA321="",0,IF(COUNTIF($AA$1:AA321,AA321)=1,1,0))</f>
        <v>0</v>
      </c>
      <c r="AC321" t="str">
        <f>IF(AB321=1,COUNTIF($AB$1:AB321,1),"")</f>
        <v/>
      </c>
    </row>
    <row r="322" spans="27:29" x14ac:dyDescent="0.25">
      <c r="AA322" t="str">
        <f>IF(ISNUMBER(SEARCH("Junior",'5'!E57)),'5'!C57,"")</f>
        <v/>
      </c>
      <c r="AB322">
        <f>IF(AA322="",0,IF(COUNTIF($AA$1:AA322,AA322)=1,1,0))</f>
        <v>0</v>
      </c>
      <c r="AC322" t="str">
        <f>IF(AB322=1,COUNTIF($AB$1:AB322,1),"")</f>
        <v/>
      </c>
    </row>
    <row r="323" spans="27:29" x14ac:dyDescent="0.25">
      <c r="AA323" t="str">
        <f>IF(ISNUMBER(SEARCH("Junior",'5'!E58)),'5'!C58,"")</f>
        <v/>
      </c>
      <c r="AB323">
        <f>IF(AA323="",0,IF(COUNTIF($AA$1:AA323,AA323)=1,1,0))</f>
        <v>0</v>
      </c>
      <c r="AC323" t="str">
        <f>IF(AB323=1,COUNTIF($AB$1:AB323,1),"")</f>
        <v/>
      </c>
    </row>
    <row r="324" spans="27:29" x14ac:dyDescent="0.25">
      <c r="AA324" t="str">
        <f>IF(ISNUMBER(SEARCH("Junior",'5'!E59)),'5'!C59,"")</f>
        <v/>
      </c>
      <c r="AB324">
        <f>IF(AA324="",0,IF(COUNTIF($AA$1:AA324,AA324)=1,1,0))</f>
        <v>0</v>
      </c>
      <c r="AC324" t="str">
        <f>IF(AB324=1,COUNTIF($AB$1:AB324,1),"")</f>
        <v/>
      </c>
    </row>
    <row r="325" spans="27:29" x14ac:dyDescent="0.25">
      <c r="AA325" t="str">
        <f>IF(ISNUMBER(SEARCH("Junior",'5'!E60)),'5'!C60,"")</f>
        <v/>
      </c>
      <c r="AB325">
        <f>IF(AA325="",0,IF(COUNTIF($AA$1:AA325,AA325)=1,1,0))</f>
        <v>0</v>
      </c>
      <c r="AC325" t="str">
        <f>IF(AB325=1,COUNTIF($AB$1:AB325,1),"")</f>
        <v/>
      </c>
    </row>
    <row r="326" spans="27:29" x14ac:dyDescent="0.25">
      <c r="AA326" t="str">
        <f>IF(ISNUMBER(SEARCH("Junior",'5'!E61)),'5'!C61,"")</f>
        <v/>
      </c>
      <c r="AB326">
        <f>IF(AA326="",0,IF(COUNTIF($AA$1:AA326,AA326)=1,1,0))</f>
        <v>0</v>
      </c>
      <c r="AC326" t="str">
        <f>IF(AB326=1,COUNTIF($AB$1:AB326,1),"")</f>
        <v/>
      </c>
    </row>
    <row r="327" spans="27:29" x14ac:dyDescent="0.25">
      <c r="AA327" t="str">
        <f>IF(ISNUMBER(SEARCH("Junior",'5'!E62)),'5'!C62,"")</f>
        <v/>
      </c>
      <c r="AB327">
        <f>IF(AA327="",0,IF(COUNTIF($AA$1:AA327,AA327)=1,1,0))</f>
        <v>0</v>
      </c>
      <c r="AC327" t="str">
        <f>IF(AB327=1,COUNTIF($AB$1:AB327,1),"")</f>
        <v/>
      </c>
    </row>
    <row r="328" spans="27:29" x14ac:dyDescent="0.25">
      <c r="AA328" t="str">
        <f>IF(ISNUMBER(SEARCH("Junior",'5'!E63)),'5'!C63,"")</f>
        <v/>
      </c>
      <c r="AB328">
        <f>IF(AA328="",0,IF(COUNTIF($AA$1:AA328,AA328)=1,1,0))</f>
        <v>0</v>
      </c>
      <c r="AC328" t="str">
        <f>IF(AB328=1,COUNTIF($AB$1:AB328,1),"")</f>
        <v/>
      </c>
    </row>
    <row r="329" spans="27:29" x14ac:dyDescent="0.25">
      <c r="AA329" t="str">
        <f>IF(ISNUMBER(SEARCH("Junior",'5'!E64)),'5'!C64,"")</f>
        <v/>
      </c>
      <c r="AB329">
        <f>IF(AA329="",0,IF(COUNTIF($AA$1:AA329,AA329)=1,1,0))</f>
        <v>0</v>
      </c>
      <c r="AC329" t="str">
        <f>IF(AB329=1,COUNTIF($AB$1:AB329,1),"")</f>
        <v/>
      </c>
    </row>
    <row r="330" spans="27:29" x14ac:dyDescent="0.25">
      <c r="AA330" t="str">
        <f>IF(ISNUMBER(SEARCH("Junior",'5'!E65)),'5'!C65,"")</f>
        <v/>
      </c>
      <c r="AB330">
        <f>IF(AA330="",0,IF(COUNTIF($AA$1:AA330,AA330)=1,1,0))</f>
        <v>0</v>
      </c>
      <c r="AC330" t="str">
        <f>IF(AB330=1,COUNTIF($AB$1:AB330,1),"")</f>
        <v/>
      </c>
    </row>
    <row r="331" spans="27:29" x14ac:dyDescent="0.25">
      <c r="AA331" t="str">
        <f>IF(ISNUMBER(SEARCH("Junior",'5'!E66)),'5'!C66,"")</f>
        <v/>
      </c>
      <c r="AB331">
        <f>IF(AA331="",0,IF(COUNTIF($AA$1:AA331,AA331)=1,1,0))</f>
        <v>0</v>
      </c>
      <c r="AC331" t="str">
        <f>IF(AB331=1,COUNTIF($AB$1:AB331,1),"")</f>
        <v/>
      </c>
    </row>
    <row r="332" spans="27:29" x14ac:dyDescent="0.25">
      <c r="AA332" t="str">
        <f>IF(ISNUMBER(SEARCH("Junior",'5'!E67)),'5'!C67,"")</f>
        <v/>
      </c>
      <c r="AB332">
        <f>IF(AA332="",0,IF(COUNTIF($AA$1:AA332,AA332)=1,1,0))</f>
        <v>0</v>
      </c>
      <c r="AC332" t="str">
        <f>IF(AB332=1,COUNTIF($AB$1:AB332,1),"")</f>
        <v/>
      </c>
    </row>
    <row r="333" spans="27:29" x14ac:dyDescent="0.25">
      <c r="AA333" t="str">
        <f>IF(ISNUMBER(SEARCH("Junior",'5'!E68)),'5'!C68,"")</f>
        <v/>
      </c>
      <c r="AB333">
        <f>IF(AA333="",0,IF(COUNTIF($AA$1:AA333,AA333)=1,1,0))</f>
        <v>0</v>
      </c>
      <c r="AC333" t="str">
        <f>IF(AB333=1,COUNTIF($AB$1:AB333,1),"")</f>
        <v/>
      </c>
    </row>
    <row r="334" spans="27:29" x14ac:dyDescent="0.25">
      <c r="AA334" t="str">
        <f>IF(ISNUMBER(SEARCH("Junior",'5'!E69)),'5'!C69,"")</f>
        <v/>
      </c>
      <c r="AB334">
        <f>IF(AA334="",0,IF(COUNTIF($AA$1:AA334,AA334)=1,1,0))</f>
        <v>0</v>
      </c>
      <c r="AC334" t="str">
        <f>IF(AB334=1,COUNTIF($AB$1:AB334,1),"")</f>
        <v/>
      </c>
    </row>
    <row r="335" spans="27:29" x14ac:dyDescent="0.25">
      <c r="AA335" t="str">
        <f>IF(ISNUMBER(SEARCH("Junior",'5'!E70)),'5'!C70,"")</f>
        <v/>
      </c>
      <c r="AB335">
        <f>IF(AA335="",0,IF(COUNTIF($AA$1:AA335,AA335)=1,1,0))</f>
        <v>0</v>
      </c>
      <c r="AC335" t="str">
        <f>IF(AB335=1,COUNTIF($AB$1:AB335,1),"")</f>
        <v/>
      </c>
    </row>
    <row r="336" spans="27:29" x14ac:dyDescent="0.25">
      <c r="AA336" t="str">
        <f>IF(ISNUMBER(SEARCH("Junior",'5'!E71)),'5'!C71,"")</f>
        <v/>
      </c>
      <c r="AB336">
        <f>IF(AA336="",0,IF(COUNTIF($AA$1:AA336,AA336)=1,1,0))</f>
        <v>0</v>
      </c>
      <c r="AC336" t="str">
        <f>IF(AB336=1,COUNTIF($AB$1:AB336,1),"")</f>
        <v/>
      </c>
    </row>
    <row r="337" spans="27:29" x14ac:dyDescent="0.25">
      <c r="AA337" t="str">
        <f>IF(ISNUMBER(SEARCH("Junior",'5'!E72)),'5'!C72,"")</f>
        <v/>
      </c>
      <c r="AB337">
        <f>IF(AA337="",0,IF(COUNTIF($AA$1:AA337,AA337)=1,1,0))</f>
        <v>0</v>
      </c>
      <c r="AC337" t="str">
        <f>IF(AB337=1,COUNTIF($AB$1:AB337,1),"")</f>
        <v/>
      </c>
    </row>
    <row r="338" spans="27:29" x14ac:dyDescent="0.25">
      <c r="AA338" t="str">
        <f>IF(ISNUMBER(SEARCH("Junior",'5'!E73)),'5'!C73,"")</f>
        <v/>
      </c>
      <c r="AB338">
        <f>IF(AA338="",0,IF(COUNTIF($AA$1:AA338,AA338)=1,1,0))</f>
        <v>0</v>
      </c>
      <c r="AC338" t="str">
        <f>IF(AB338=1,COUNTIF($AB$1:AB338,1),"")</f>
        <v/>
      </c>
    </row>
    <row r="339" spans="27:29" x14ac:dyDescent="0.25">
      <c r="AA339" t="str">
        <f>IF(ISNUMBER(SEARCH("Junior",'5'!E74)),'5'!C74,"")</f>
        <v/>
      </c>
      <c r="AB339">
        <f>IF(AA339="",0,IF(COUNTIF($AA$1:AA339,AA339)=1,1,0))</f>
        <v>0</v>
      </c>
      <c r="AC339" t="str">
        <f>IF(AB339=1,COUNTIF($AB$1:AB339,1),"")</f>
        <v/>
      </c>
    </row>
    <row r="340" spans="27:29" x14ac:dyDescent="0.25">
      <c r="AA340" t="str">
        <f>IF(ISNUMBER(SEARCH("Junior",'5'!E75)),'5'!C75,"")</f>
        <v/>
      </c>
      <c r="AB340">
        <f>IF(AA340="",0,IF(COUNTIF($AA$1:AA340,AA340)=1,1,0))</f>
        <v>0</v>
      </c>
      <c r="AC340" t="str">
        <f>IF(AB340=1,COUNTIF($AB$1:AB340,1),"")</f>
        <v/>
      </c>
    </row>
    <row r="341" spans="27:29" x14ac:dyDescent="0.25">
      <c r="AA341" t="str">
        <f>IF(ISNUMBER(SEARCH("Junior",'5'!E76)),'5'!C76,"")</f>
        <v/>
      </c>
      <c r="AB341">
        <f>IF(AA341="",0,IF(COUNTIF($AA$1:AA341,AA341)=1,1,0))</f>
        <v>0</v>
      </c>
      <c r="AC341" t="str">
        <f>IF(AB341=1,COUNTIF($AB$1:AB341,1),"")</f>
        <v/>
      </c>
    </row>
    <row r="342" spans="27:29" x14ac:dyDescent="0.25">
      <c r="AA342" t="str">
        <f>IF(ISNUMBER(SEARCH("Junior",'5'!E77)),'5'!C77,"")</f>
        <v/>
      </c>
      <c r="AB342">
        <f>IF(AA342="",0,IF(COUNTIF($AA$1:AA342,AA342)=1,1,0))</f>
        <v>0</v>
      </c>
      <c r="AC342" t="str">
        <f>IF(AB342=1,COUNTIF($AB$1:AB342,1),"")</f>
        <v/>
      </c>
    </row>
    <row r="343" spans="27:29" x14ac:dyDescent="0.25">
      <c r="AA343" t="str">
        <f>IF(ISNUMBER(SEARCH("Junior",'5'!E78)),'5'!C78,"")</f>
        <v/>
      </c>
      <c r="AB343">
        <f>IF(AA343="",0,IF(COUNTIF($AA$1:AA343,AA343)=1,1,0))</f>
        <v>0</v>
      </c>
      <c r="AC343" t="str">
        <f>IF(AB343=1,COUNTIF($AB$1:AB343,1),"")</f>
        <v/>
      </c>
    </row>
    <row r="344" spans="27:29" x14ac:dyDescent="0.25">
      <c r="AA344" t="str">
        <f>IF(ISNUMBER(SEARCH("Junior",'5'!E79)),'5'!C79,"")</f>
        <v/>
      </c>
      <c r="AB344">
        <f>IF(AA344="",0,IF(COUNTIF($AA$1:AA344,AA344)=1,1,0))</f>
        <v>0</v>
      </c>
      <c r="AC344" t="str">
        <f>IF(AB344=1,COUNTIF($AB$1:AB344,1),"")</f>
        <v/>
      </c>
    </row>
    <row r="345" spans="27:29" x14ac:dyDescent="0.25">
      <c r="AA345" t="str">
        <f>IF(ISNUMBER(SEARCH("Junior",'5'!E80)),'5'!C80,"")</f>
        <v/>
      </c>
      <c r="AB345">
        <f>IF(AA345="",0,IF(COUNTIF($AA$1:AA345,AA345)=1,1,0))</f>
        <v>0</v>
      </c>
      <c r="AC345" t="str">
        <f>IF(AB345=1,COUNTIF($AB$1:AB345,1),"")</f>
        <v/>
      </c>
    </row>
    <row r="346" spans="27:29" x14ac:dyDescent="0.25">
      <c r="AA346" t="str">
        <f>IF(ISNUMBER(SEARCH("Junior",'5'!E81)),'5'!C81,"")</f>
        <v/>
      </c>
      <c r="AB346">
        <f>IF(AA346="",0,IF(COUNTIF($AA$1:AA346,AA346)=1,1,0))</f>
        <v>0</v>
      </c>
      <c r="AC346" t="str">
        <f>IF(AB346=1,COUNTIF($AB$1:AB346,1),"")</f>
        <v/>
      </c>
    </row>
    <row r="347" spans="27:29" x14ac:dyDescent="0.25">
      <c r="AA347" t="str">
        <f>IF(ISNUMBER(SEARCH("Junior",'5'!E82)),'5'!C82,"")</f>
        <v/>
      </c>
      <c r="AB347">
        <f>IF(AA347="",0,IF(COUNTIF($AA$1:AA347,AA347)=1,1,0))</f>
        <v>0</v>
      </c>
      <c r="AC347" t="str">
        <f>IF(AB347=1,COUNTIF($AB$1:AB347,1),"")</f>
        <v/>
      </c>
    </row>
    <row r="348" spans="27:29" x14ac:dyDescent="0.25">
      <c r="AA348" t="str">
        <f>IF(ISNUMBER(SEARCH("Junior",'5'!E83)),'5'!C83,"")</f>
        <v/>
      </c>
      <c r="AB348">
        <f>IF(AA348="",0,IF(COUNTIF($AA$1:AA348,AA348)=1,1,0))</f>
        <v>0</v>
      </c>
      <c r="AC348" t="str">
        <f>IF(AB348=1,COUNTIF($AB$1:AB348,1),"")</f>
        <v/>
      </c>
    </row>
    <row r="349" spans="27:29" x14ac:dyDescent="0.25">
      <c r="AA349" t="str">
        <f>IF(ISNUMBER(SEARCH("Junior",'5'!E84)),'5'!C84,"")</f>
        <v/>
      </c>
      <c r="AB349">
        <f>IF(AA349="",0,IF(COUNTIF($AA$1:AA349,AA349)=1,1,0))</f>
        <v>0</v>
      </c>
      <c r="AC349" t="str">
        <f>IF(AB349=1,COUNTIF($AB$1:AB349,1),"")</f>
        <v/>
      </c>
    </row>
    <row r="350" spans="27:29" x14ac:dyDescent="0.25">
      <c r="AA350" t="str">
        <f>IF(ISNUMBER(SEARCH("Junior",'5'!E85)),'5'!C85,"")</f>
        <v/>
      </c>
      <c r="AB350">
        <f>IF(AA350="",0,IF(COUNTIF($AA$1:AA350,AA350)=1,1,0))</f>
        <v>0</v>
      </c>
      <c r="AC350" t="str">
        <f>IF(AB350=1,COUNTIF($AB$1:AB350,1),"")</f>
        <v/>
      </c>
    </row>
    <row r="351" spans="27:29" x14ac:dyDescent="0.25">
      <c r="AA351" t="str">
        <f>IF(ISNUMBER(SEARCH("Junior",'5'!E86)),'5'!C86,"")</f>
        <v/>
      </c>
      <c r="AB351">
        <f>IF(AA351="",0,IF(COUNTIF($AA$1:AA351,AA351)=1,1,0))</f>
        <v>0</v>
      </c>
      <c r="AC351" t="str">
        <f>IF(AB351=1,COUNTIF($AB$1:AB351,1),"")</f>
        <v/>
      </c>
    </row>
    <row r="352" spans="27:29" x14ac:dyDescent="0.25">
      <c r="AA352" t="str">
        <f>IF(ISNUMBER(SEARCH("Junior",'5'!E87)),'5'!C87,"")</f>
        <v/>
      </c>
      <c r="AB352">
        <f>IF(AA352="",0,IF(COUNTIF($AA$1:AA352,AA352)=1,1,0))</f>
        <v>0</v>
      </c>
      <c r="AC352" t="str">
        <f>IF(AB352=1,COUNTIF($AB$1:AB352,1),"")</f>
        <v/>
      </c>
    </row>
    <row r="353" spans="27:29" x14ac:dyDescent="0.25">
      <c r="AA353" t="str">
        <f>IF(ISNUMBER(SEARCH("Junior",'5'!E88)),'5'!C88,"")</f>
        <v/>
      </c>
      <c r="AB353">
        <f>IF(AA353="",0,IF(COUNTIF($AA$1:AA353,AA353)=1,1,0))</f>
        <v>0</v>
      </c>
      <c r="AC353" t="str">
        <f>IF(AB353=1,COUNTIF($AB$1:AB353,1),"")</f>
        <v/>
      </c>
    </row>
    <row r="354" spans="27:29" x14ac:dyDescent="0.25">
      <c r="AA354" t="str">
        <f>IF(ISNUMBER(SEARCH("Junior",'5'!E89)),'5'!C89,"")</f>
        <v/>
      </c>
      <c r="AB354">
        <f>IF(AA354="",0,IF(COUNTIF($AA$1:AA354,AA354)=1,1,0))</f>
        <v>0</v>
      </c>
      <c r="AC354" t="str">
        <f>IF(AB354=1,COUNTIF($AB$1:AB354,1),"")</f>
        <v/>
      </c>
    </row>
    <row r="355" spans="27:29" x14ac:dyDescent="0.25">
      <c r="AA355" t="str">
        <f>IF(ISNUMBER(SEARCH("Junior",'5'!E90)),'5'!C90,"")</f>
        <v/>
      </c>
      <c r="AB355">
        <f>IF(AA355="",0,IF(COUNTIF($AA$1:AA355,AA355)=1,1,0))</f>
        <v>0</v>
      </c>
      <c r="AC355" t="str">
        <f>IF(AB355=1,COUNTIF($AB$1:AB355,1),"")</f>
        <v/>
      </c>
    </row>
    <row r="356" spans="27:29" x14ac:dyDescent="0.25">
      <c r="AA356" t="str">
        <f>IF(ISNUMBER(SEARCH("Junior",'5'!E91)),'5'!C91,"")</f>
        <v/>
      </c>
      <c r="AB356">
        <f>IF(AA356="",0,IF(COUNTIF($AA$1:AA356,AA356)=1,1,0))</f>
        <v>0</v>
      </c>
      <c r="AC356" t="str">
        <f>IF(AB356=1,COUNTIF($AB$1:AB356,1),"")</f>
        <v/>
      </c>
    </row>
    <row r="357" spans="27:29" x14ac:dyDescent="0.25">
      <c r="AA357" t="str">
        <f>IF(ISNUMBER(SEARCH("Junior",'5'!E92)),'5'!C92,"")</f>
        <v/>
      </c>
      <c r="AB357">
        <f>IF(AA357="",0,IF(COUNTIF($AA$1:AA357,AA357)=1,1,0))</f>
        <v>0</v>
      </c>
      <c r="AC357" t="str">
        <f>IF(AB357=1,COUNTIF($AB$1:AB357,1),"")</f>
        <v/>
      </c>
    </row>
    <row r="358" spans="27:29" x14ac:dyDescent="0.25">
      <c r="AA358" t="str">
        <f>IF(ISNUMBER(SEARCH("Junior",'5'!E93)),'5'!C93,"")</f>
        <v/>
      </c>
      <c r="AB358">
        <f>IF(AA358="",0,IF(COUNTIF($AA$1:AA358,AA358)=1,1,0))</f>
        <v>0</v>
      </c>
      <c r="AC358" t="str">
        <f>IF(AB358=1,COUNTIF($AB$1:AB358,1),"")</f>
        <v/>
      </c>
    </row>
    <row r="359" spans="27:29" x14ac:dyDescent="0.25">
      <c r="AA359" t="str">
        <f>IF(ISNUMBER(SEARCH("Junior",'5'!E94)),'5'!C94,"")</f>
        <v/>
      </c>
      <c r="AB359">
        <f>IF(AA359="",0,IF(COUNTIF($AA$1:AA359,AA359)=1,1,0))</f>
        <v>0</v>
      </c>
      <c r="AC359" t="str">
        <f>IF(AB359=1,COUNTIF($AB$1:AB359,1),"")</f>
        <v/>
      </c>
    </row>
    <row r="360" spans="27:29" x14ac:dyDescent="0.25">
      <c r="AA360" t="str">
        <f>IF(ISNUMBER(SEARCH("Junior",'5'!E95)),'5'!C95,"")</f>
        <v/>
      </c>
      <c r="AB360">
        <f>IF(AA360="",0,IF(COUNTIF($AA$1:AA360,AA360)=1,1,0))</f>
        <v>0</v>
      </c>
      <c r="AC360" t="str">
        <f>IF(AB360=1,COUNTIF($AB$1:AB360,1),"")</f>
        <v/>
      </c>
    </row>
    <row r="361" spans="27:29" x14ac:dyDescent="0.25">
      <c r="AA361" t="str">
        <f>IF(ISNUMBER(SEARCH("Junior",'5'!E96)),'5'!C96,"")</f>
        <v/>
      </c>
      <c r="AB361">
        <f>IF(AA361="",0,IF(COUNTIF($AA$1:AA361,AA361)=1,1,0))</f>
        <v>0</v>
      </c>
      <c r="AC361" t="str">
        <f>IF(AB361=1,COUNTIF($AB$1:AB361,1),"")</f>
        <v/>
      </c>
    </row>
    <row r="362" spans="27:29" x14ac:dyDescent="0.25">
      <c r="AA362" t="str">
        <f>IF(ISNUMBER(SEARCH("Junior",'5'!E97)),'5'!C97,"")</f>
        <v/>
      </c>
      <c r="AB362">
        <f>IF(AA362="",0,IF(COUNTIF($AA$1:AA362,AA362)=1,1,0))</f>
        <v>0</v>
      </c>
      <c r="AC362" t="str">
        <f>IF(AB362=1,COUNTIF($AB$1:AB362,1),"")</f>
        <v/>
      </c>
    </row>
    <row r="363" spans="27:29" x14ac:dyDescent="0.25">
      <c r="AA363" t="str">
        <f>IF(ISNUMBER(SEARCH("Junior",'5'!E98)),'5'!C98,"")</f>
        <v/>
      </c>
      <c r="AB363">
        <f>IF(AA363="",0,IF(COUNTIF($AA$1:AA363,AA363)=1,1,0))</f>
        <v>0</v>
      </c>
      <c r="AC363" t="str">
        <f>IF(AB363=1,COUNTIF($AB$1:AB363,1),"")</f>
        <v/>
      </c>
    </row>
    <row r="364" spans="27:29" x14ac:dyDescent="0.25">
      <c r="AA364" t="str">
        <f>IF(ISNUMBER(SEARCH("Junior",'5'!E99)),'5'!C99,"")</f>
        <v/>
      </c>
      <c r="AB364">
        <f>IF(AA364="",0,IF(COUNTIF($AA$1:AA364,AA364)=1,1,0))</f>
        <v>0</v>
      </c>
      <c r="AC364" t="str">
        <f>IF(AB364=1,COUNTIF($AB$1:AB364,1),"")</f>
        <v/>
      </c>
    </row>
    <row r="365" spans="27:29" x14ac:dyDescent="0.25">
      <c r="AA365" t="str">
        <f>IF(ISNUMBER(SEARCH("Junior",'5'!E100)),'5'!C100,"")</f>
        <v/>
      </c>
      <c r="AB365">
        <f>IF(AA365="",0,IF(COUNTIF($AA$1:AA365,AA365)=1,1,0))</f>
        <v>0</v>
      </c>
      <c r="AC365" t="str">
        <f>IF(AB365=1,COUNTIF($AB$1:AB365,1),"")</f>
        <v/>
      </c>
    </row>
    <row r="366" spans="27:29" x14ac:dyDescent="0.25">
      <c r="AA366" t="str">
        <f>IF(ISNUMBER(SEARCH("Junior",'5'!E101)),'5'!C101,"")</f>
        <v/>
      </c>
      <c r="AB366">
        <f>IF(AA366="",0,IF(COUNTIF($AA$1:AA366,AA366)=1,1,0))</f>
        <v>0</v>
      </c>
      <c r="AC366" t="str">
        <f>IF(AB366=1,COUNTIF($AB$1:AB366,1),"")</f>
        <v/>
      </c>
    </row>
    <row r="367" spans="27:29" x14ac:dyDescent="0.25">
      <c r="AA367" t="str">
        <f>IF(ISNUMBER(SEARCH("Junior",'5'!E102)),'5'!C102,"")</f>
        <v/>
      </c>
      <c r="AB367">
        <f>IF(AA367="",0,IF(COUNTIF($AA$1:AA367,AA367)=1,1,0))</f>
        <v>0</v>
      </c>
      <c r="AC367" t="str">
        <f>IF(AB367=1,COUNTIF($AB$1:AB367,1),"")</f>
        <v/>
      </c>
    </row>
    <row r="368" spans="27:29" x14ac:dyDescent="0.25">
      <c r="AA368" t="str">
        <f>IF(ISNUMBER(SEARCH("Junior",'5'!E103)),'5'!C103,"")</f>
        <v/>
      </c>
      <c r="AB368">
        <f>IF(AA368="",0,IF(COUNTIF($AA$1:AA368,AA368)=1,1,0))</f>
        <v>0</v>
      </c>
      <c r="AC368" t="str">
        <f>IF(AB368=1,COUNTIF($AB$1:AB368,1),"")</f>
        <v/>
      </c>
    </row>
  </sheetData>
  <autoFilter ref="A3:O203" xr:uid="{00000000-0009-0000-0000-000009000000}"/>
  <sortState xmlns:xlrd2="http://schemas.microsoft.com/office/spreadsheetml/2017/richdata2" ref="A4:O368">
    <sortCondition ref="O3:O368"/>
  </sortState>
  <mergeCells count="2">
    <mergeCell ref="A1:O1"/>
    <mergeCell ref="A2:O2"/>
  </mergeCells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4"/>
  <sheetViews>
    <sheetView zoomScaleNormal="100" workbookViewId="0">
      <selection sqref="A1:F1"/>
    </sheetView>
  </sheetViews>
  <sheetFormatPr defaultColWidth="8.7109375" defaultRowHeight="15" x14ac:dyDescent="0.25"/>
  <cols>
    <col min="1" max="1" width="12" customWidth="1"/>
    <col min="2" max="6" width="24" customWidth="1"/>
  </cols>
  <sheetData>
    <row r="1" spans="1:6" ht="18" x14ac:dyDescent="0.25">
      <c r="A1" s="45" t="s">
        <v>159</v>
      </c>
      <c r="B1" s="45"/>
      <c r="C1" s="45"/>
      <c r="D1" s="45"/>
      <c r="E1" s="45"/>
      <c r="F1" s="45"/>
    </row>
    <row r="2" spans="1:6" ht="16.5" x14ac:dyDescent="0.25">
      <c r="A2" s="27" t="s">
        <v>160</v>
      </c>
      <c r="B2" s="28"/>
      <c r="C2" s="28"/>
      <c r="D2" s="28"/>
      <c r="E2" s="28"/>
      <c r="F2" s="28"/>
    </row>
    <row r="3" spans="1:6" x14ac:dyDescent="0.25">
      <c r="A3" s="29" t="s">
        <v>161</v>
      </c>
      <c r="B3" s="29" t="s">
        <v>162</v>
      </c>
      <c r="C3" s="29" t="s">
        <v>163</v>
      </c>
      <c r="D3" s="29" t="s">
        <v>164</v>
      </c>
      <c r="E3" s="29" t="s">
        <v>165</v>
      </c>
      <c r="F3" s="29" t="s">
        <v>166</v>
      </c>
    </row>
    <row r="4" spans="1:6" x14ac:dyDescent="0.25">
      <c r="A4" s="30" t="s">
        <v>167</v>
      </c>
      <c r="B4" s="31"/>
      <c r="C4" s="31"/>
      <c r="D4" s="31"/>
      <c r="E4" s="31"/>
      <c r="F4" s="31"/>
    </row>
    <row r="5" spans="1:6" x14ac:dyDescent="0.25">
      <c r="A5" s="30" t="s">
        <v>168</v>
      </c>
      <c r="B5" s="31"/>
      <c r="C5" s="31"/>
      <c r="D5" s="31"/>
      <c r="E5" s="31"/>
      <c r="F5" s="31"/>
    </row>
    <row r="6" spans="1:6" x14ac:dyDescent="0.25">
      <c r="A6" s="30" t="s">
        <v>169</v>
      </c>
      <c r="B6" s="31"/>
      <c r="C6" s="31"/>
      <c r="D6" s="31"/>
      <c r="E6" s="31"/>
      <c r="F6" s="31"/>
    </row>
    <row r="7" spans="1:6" x14ac:dyDescent="0.25">
      <c r="A7" s="30" t="s">
        <v>170</v>
      </c>
      <c r="B7" s="31"/>
      <c r="C7" s="31"/>
      <c r="D7" s="31"/>
      <c r="E7" s="31"/>
      <c r="F7" s="31"/>
    </row>
    <row r="8" spans="1:6" x14ac:dyDescent="0.25">
      <c r="A8" s="30" t="s">
        <v>171</v>
      </c>
      <c r="B8" s="31"/>
      <c r="C8" s="31"/>
      <c r="D8" s="31"/>
      <c r="E8" s="31"/>
      <c r="F8" s="31"/>
    </row>
    <row r="10" spans="1:6" ht="16.5" x14ac:dyDescent="0.25">
      <c r="A10" s="27" t="s">
        <v>67</v>
      </c>
      <c r="B10" s="28"/>
      <c r="C10" s="28"/>
      <c r="D10" s="28"/>
      <c r="E10" s="28"/>
      <c r="F10" s="28"/>
    </row>
    <row r="11" spans="1:6" x14ac:dyDescent="0.25">
      <c r="A11" s="29" t="s">
        <v>161</v>
      </c>
      <c r="B11" s="29" t="s">
        <v>162</v>
      </c>
      <c r="C11" s="29" t="s">
        <v>163</v>
      </c>
      <c r="D11" s="29" t="s">
        <v>164</v>
      </c>
      <c r="E11" s="29" t="s">
        <v>165</v>
      </c>
      <c r="F11" s="29" t="s">
        <v>166</v>
      </c>
    </row>
    <row r="12" spans="1:6" x14ac:dyDescent="0.25">
      <c r="A12" s="30" t="s">
        <v>167</v>
      </c>
      <c r="B12" s="31"/>
      <c r="C12" s="31"/>
      <c r="D12" s="31"/>
      <c r="E12" s="31"/>
      <c r="F12" s="31"/>
    </row>
    <row r="13" spans="1:6" x14ac:dyDescent="0.25">
      <c r="A13" s="30" t="s">
        <v>168</v>
      </c>
      <c r="B13" s="31"/>
      <c r="C13" s="31"/>
      <c r="D13" s="31"/>
      <c r="E13" s="31"/>
      <c r="F13" s="31"/>
    </row>
    <row r="14" spans="1:6" x14ac:dyDescent="0.25">
      <c r="A14" s="30" t="s">
        <v>169</v>
      </c>
      <c r="B14" s="31"/>
      <c r="C14" s="31"/>
      <c r="D14" s="31"/>
      <c r="E14" s="31"/>
      <c r="F14" s="31"/>
    </row>
    <row r="15" spans="1:6" x14ac:dyDescent="0.25">
      <c r="A15" s="30" t="s">
        <v>170</v>
      </c>
      <c r="B15" s="31"/>
      <c r="C15" s="31"/>
      <c r="D15" s="31"/>
      <c r="E15" s="31"/>
      <c r="F15" s="31"/>
    </row>
    <row r="16" spans="1:6" x14ac:dyDescent="0.25">
      <c r="A16" s="30" t="s">
        <v>171</v>
      </c>
      <c r="B16" s="31"/>
      <c r="C16" s="31"/>
      <c r="D16" s="31"/>
      <c r="E16" s="31"/>
      <c r="F16" s="31"/>
    </row>
    <row r="18" spans="1:6" ht="16.5" x14ac:dyDescent="0.25">
      <c r="A18" s="27" t="s">
        <v>130</v>
      </c>
      <c r="B18" s="28"/>
      <c r="C18" s="28"/>
      <c r="D18" s="28"/>
      <c r="E18" s="28"/>
      <c r="F18" s="28"/>
    </row>
    <row r="19" spans="1:6" x14ac:dyDescent="0.25">
      <c r="A19" s="29" t="s">
        <v>161</v>
      </c>
      <c r="B19" s="29" t="s">
        <v>162</v>
      </c>
      <c r="C19" s="29" t="s">
        <v>163</v>
      </c>
      <c r="D19" s="29" t="s">
        <v>164</v>
      </c>
      <c r="E19" s="29" t="s">
        <v>165</v>
      </c>
      <c r="F19" s="29" t="s">
        <v>166</v>
      </c>
    </row>
    <row r="20" spans="1:6" x14ac:dyDescent="0.25">
      <c r="A20" s="30" t="s">
        <v>167</v>
      </c>
      <c r="B20" s="31"/>
      <c r="C20" s="31"/>
      <c r="D20" s="31"/>
      <c r="E20" s="31"/>
      <c r="F20" s="31"/>
    </row>
    <row r="21" spans="1:6" x14ac:dyDescent="0.25">
      <c r="A21" s="30" t="s">
        <v>168</v>
      </c>
      <c r="B21" s="31"/>
      <c r="C21" s="31"/>
      <c r="D21" s="31"/>
      <c r="E21" s="31"/>
      <c r="F21" s="31"/>
    </row>
    <row r="22" spans="1:6" x14ac:dyDescent="0.25">
      <c r="A22" s="30" t="s">
        <v>169</v>
      </c>
      <c r="B22" s="31"/>
      <c r="C22" s="31"/>
      <c r="D22" s="31"/>
      <c r="E22" s="31"/>
      <c r="F22" s="31"/>
    </row>
    <row r="23" spans="1:6" x14ac:dyDescent="0.25">
      <c r="A23" s="30" t="s">
        <v>170</v>
      </c>
      <c r="B23" s="31"/>
      <c r="C23" s="31"/>
      <c r="D23" s="31"/>
      <c r="E23" s="31"/>
      <c r="F23" s="31"/>
    </row>
    <row r="24" spans="1:6" x14ac:dyDescent="0.25">
      <c r="A24" s="30" t="s">
        <v>171</v>
      </c>
      <c r="B24" s="31"/>
      <c r="C24" s="31"/>
      <c r="D24" s="31"/>
      <c r="E24" s="31"/>
      <c r="F24" s="31"/>
    </row>
  </sheetData>
  <mergeCells count="1">
    <mergeCell ref="A1:F1"/>
  </mergeCells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4"/>
  <sheetViews>
    <sheetView zoomScaleNormal="100" workbookViewId="0">
      <selection sqref="A1:F1"/>
    </sheetView>
  </sheetViews>
  <sheetFormatPr defaultColWidth="8.7109375" defaultRowHeight="15" x14ac:dyDescent="0.25"/>
  <cols>
    <col min="1" max="1" width="12" customWidth="1"/>
    <col min="2" max="6" width="24" customWidth="1"/>
  </cols>
  <sheetData>
    <row r="1" spans="1:6" ht="18" x14ac:dyDescent="0.25">
      <c r="A1" s="45" t="s">
        <v>172</v>
      </c>
      <c r="B1" s="45"/>
      <c r="C1" s="45"/>
      <c r="D1" s="45"/>
      <c r="E1" s="45"/>
      <c r="F1" s="45"/>
    </row>
    <row r="2" spans="1:6" ht="16.5" x14ac:dyDescent="0.25">
      <c r="A2" s="27" t="s">
        <v>160</v>
      </c>
      <c r="B2" s="28"/>
      <c r="C2" s="28"/>
      <c r="D2" s="28"/>
      <c r="E2" s="28"/>
      <c r="F2" s="28"/>
    </row>
    <row r="3" spans="1:6" x14ac:dyDescent="0.25">
      <c r="A3" s="29" t="s">
        <v>161</v>
      </c>
      <c r="B3" s="29" t="s">
        <v>162</v>
      </c>
      <c r="C3" s="29" t="s">
        <v>163</v>
      </c>
      <c r="D3" s="29" t="s">
        <v>164</v>
      </c>
      <c r="E3" s="29" t="s">
        <v>165</v>
      </c>
      <c r="F3" s="29" t="s">
        <v>166</v>
      </c>
    </row>
    <row r="4" spans="1:6" x14ac:dyDescent="0.25">
      <c r="A4" s="30" t="s">
        <v>167</v>
      </c>
      <c r="B4" s="31" t="s">
        <v>39</v>
      </c>
      <c r="C4" s="31" t="s">
        <v>99</v>
      </c>
      <c r="D4" s="31" t="s">
        <v>111</v>
      </c>
      <c r="E4" s="31" t="s">
        <v>37</v>
      </c>
      <c r="F4" s="31" t="s">
        <v>36</v>
      </c>
    </row>
    <row r="5" spans="1:6" x14ac:dyDescent="0.25">
      <c r="A5" s="30" t="s">
        <v>168</v>
      </c>
      <c r="B5" s="31" t="s">
        <v>39</v>
      </c>
      <c r="C5" s="31" t="s">
        <v>111</v>
      </c>
      <c r="D5" s="31" t="s">
        <v>57</v>
      </c>
      <c r="E5" s="31" t="s">
        <v>99</v>
      </c>
      <c r="F5" s="31" t="s">
        <v>41</v>
      </c>
    </row>
    <row r="6" spans="1:6" x14ac:dyDescent="0.25">
      <c r="A6" s="30" t="s">
        <v>169</v>
      </c>
      <c r="B6" s="31" t="s">
        <v>99</v>
      </c>
      <c r="C6" s="31" t="s">
        <v>103</v>
      </c>
      <c r="D6" s="31" t="s">
        <v>109</v>
      </c>
      <c r="E6" s="31" t="s">
        <v>39</v>
      </c>
      <c r="F6" s="31" t="s">
        <v>111</v>
      </c>
    </row>
    <row r="7" spans="1:6" x14ac:dyDescent="0.25">
      <c r="A7" s="30" t="s">
        <v>170</v>
      </c>
      <c r="B7" s="31" t="s">
        <v>99</v>
      </c>
      <c r="C7" s="31" t="s">
        <v>103</v>
      </c>
      <c r="D7" s="31" t="s">
        <v>105</v>
      </c>
      <c r="E7" s="31" t="s">
        <v>57</v>
      </c>
      <c r="F7" s="31" t="s">
        <v>39</v>
      </c>
    </row>
    <row r="8" spans="1:6" x14ac:dyDescent="0.25">
      <c r="A8" s="30" t="s">
        <v>171</v>
      </c>
      <c r="B8" s="31" t="s">
        <v>103</v>
      </c>
      <c r="C8" s="31" t="s">
        <v>99</v>
      </c>
      <c r="D8" s="31" t="s">
        <v>39</v>
      </c>
      <c r="E8" s="31" t="s">
        <v>111</v>
      </c>
      <c r="F8" s="31" t="s">
        <v>57</v>
      </c>
    </row>
    <row r="10" spans="1:6" ht="16.5" x14ac:dyDescent="0.25">
      <c r="A10" s="27" t="s">
        <v>67</v>
      </c>
      <c r="B10" s="28"/>
      <c r="C10" s="28"/>
      <c r="D10" s="28"/>
      <c r="E10" s="28"/>
      <c r="F10" s="28"/>
    </row>
    <row r="11" spans="1:6" x14ac:dyDescent="0.25">
      <c r="A11" s="29" t="s">
        <v>161</v>
      </c>
      <c r="B11" s="29" t="s">
        <v>162</v>
      </c>
      <c r="C11" s="29" t="s">
        <v>163</v>
      </c>
      <c r="D11" s="29" t="s">
        <v>164</v>
      </c>
      <c r="E11" s="29" t="s">
        <v>165</v>
      </c>
      <c r="F11" s="29" t="s">
        <v>166</v>
      </c>
    </row>
    <row r="12" spans="1:6" x14ac:dyDescent="0.25">
      <c r="A12" s="30" t="s">
        <v>167</v>
      </c>
      <c r="B12" s="31"/>
      <c r="C12" s="31"/>
      <c r="D12" s="31"/>
      <c r="E12" s="31"/>
      <c r="F12" s="31"/>
    </row>
    <row r="13" spans="1:6" x14ac:dyDescent="0.25">
      <c r="A13" s="30" t="s">
        <v>168</v>
      </c>
      <c r="B13" s="31"/>
      <c r="C13" s="31"/>
      <c r="D13" s="31"/>
      <c r="E13" s="31"/>
      <c r="F13" s="31"/>
    </row>
    <row r="14" spans="1:6" x14ac:dyDescent="0.25">
      <c r="A14" s="30" t="s">
        <v>169</v>
      </c>
      <c r="B14" s="31"/>
      <c r="C14" s="31"/>
      <c r="D14" s="31"/>
      <c r="E14" s="31"/>
      <c r="F14" s="31"/>
    </row>
    <row r="15" spans="1:6" x14ac:dyDescent="0.25">
      <c r="A15" s="30" t="s">
        <v>170</v>
      </c>
      <c r="B15" s="31"/>
      <c r="C15" s="31"/>
      <c r="D15" s="31"/>
      <c r="E15" s="31"/>
      <c r="F15" s="31"/>
    </row>
    <row r="16" spans="1:6" x14ac:dyDescent="0.25">
      <c r="A16" s="30" t="s">
        <v>171</v>
      </c>
      <c r="B16" s="31"/>
      <c r="C16" s="31"/>
      <c r="D16" s="31"/>
      <c r="E16" s="31"/>
      <c r="F16" s="31"/>
    </row>
    <row r="18" spans="1:6" ht="16.5" x14ac:dyDescent="0.25">
      <c r="A18" s="27" t="s">
        <v>130</v>
      </c>
      <c r="B18" s="28"/>
      <c r="C18" s="28"/>
      <c r="D18" s="28"/>
      <c r="E18" s="28"/>
      <c r="F18" s="28"/>
    </row>
    <row r="19" spans="1:6" x14ac:dyDescent="0.25">
      <c r="A19" s="29" t="s">
        <v>161</v>
      </c>
      <c r="B19" s="29" t="s">
        <v>162</v>
      </c>
      <c r="C19" s="29" t="s">
        <v>163</v>
      </c>
      <c r="D19" s="29" t="s">
        <v>164</v>
      </c>
      <c r="E19" s="29" t="s">
        <v>165</v>
      </c>
      <c r="F19" s="29" t="s">
        <v>166</v>
      </c>
    </row>
    <row r="20" spans="1:6" x14ac:dyDescent="0.25">
      <c r="A20" s="30" t="s">
        <v>167</v>
      </c>
      <c r="B20" s="31" t="s">
        <v>132</v>
      </c>
      <c r="C20" s="31"/>
      <c r="D20" s="31"/>
      <c r="E20" s="31" t="s">
        <v>135</v>
      </c>
      <c r="F20" s="31"/>
    </row>
    <row r="21" spans="1:6" x14ac:dyDescent="0.25">
      <c r="A21" s="30" t="s">
        <v>168</v>
      </c>
      <c r="B21" s="31" t="s">
        <v>132</v>
      </c>
      <c r="C21" s="31"/>
      <c r="D21" s="31" t="s">
        <v>135</v>
      </c>
      <c r="E21" s="31" t="s">
        <v>134</v>
      </c>
      <c r="F21" s="31"/>
    </row>
    <row r="22" spans="1:6" x14ac:dyDescent="0.25">
      <c r="A22" s="30" t="s">
        <v>169</v>
      </c>
      <c r="B22" s="31" t="s">
        <v>132</v>
      </c>
      <c r="C22" s="31" t="s">
        <v>134</v>
      </c>
      <c r="D22" s="31"/>
      <c r="E22" s="31" t="s">
        <v>135</v>
      </c>
      <c r="F22" s="31"/>
    </row>
    <row r="23" spans="1:6" x14ac:dyDescent="0.25">
      <c r="A23" s="30" t="s">
        <v>170</v>
      </c>
      <c r="B23" s="31"/>
      <c r="C23" s="31"/>
      <c r="D23" s="31"/>
      <c r="E23" s="31"/>
      <c r="F23" s="31"/>
    </row>
    <row r="24" spans="1:6" x14ac:dyDescent="0.25">
      <c r="A24" s="30" t="s">
        <v>171</v>
      </c>
      <c r="B24" s="31"/>
      <c r="C24" s="31"/>
      <c r="D24" s="31"/>
      <c r="E24" s="31"/>
      <c r="F24" s="31"/>
    </row>
  </sheetData>
  <mergeCells count="1">
    <mergeCell ref="A1:F1"/>
  </mergeCells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4"/>
  <sheetViews>
    <sheetView zoomScaleNormal="100" workbookViewId="0">
      <selection activeCell="F22" sqref="F22"/>
    </sheetView>
  </sheetViews>
  <sheetFormatPr defaultColWidth="8.7109375" defaultRowHeight="15" x14ac:dyDescent="0.25"/>
  <cols>
    <col min="1" max="1" width="12" customWidth="1"/>
    <col min="2" max="6" width="24" customWidth="1"/>
  </cols>
  <sheetData>
    <row r="1" spans="1:6" ht="18" x14ac:dyDescent="0.25">
      <c r="A1" s="45" t="s">
        <v>173</v>
      </c>
      <c r="B1" s="45"/>
      <c r="C1" s="45"/>
      <c r="D1" s="45"/>
      <c r="E1" s="45"/>
      <c r="F1" s="45"/>
    </row>
    <row r="2" spans="1:6" ht="16.5" x14ac:dyDescent="0.25">
      <c r="A2" s="27" t="s">
        <v>160</v>
      </c>
      <c r="B2" s="28"/>
      <c r="C2" s="28"/>
      <c r="D2" s="28"/>
      <c r="E2" s="28"/>
      <c r="F2" s="28"/>
    </row>
    <row r="3" spans="1:6" x14ac:dyDescent="0.25">
      <c r="A3" s="29" t="s">
        <v>161</v>
      </c>
      <c r="B3" s="29" t="s">
        <v>162</v>
      </c>
      <c r="C3" s="29" t="s">
        <v>163</v>
      </c>
      <c r="D3" s="29" t="s">
        <v>164</v>
      </c>
      <c r="E3" s="29" t="s">
        <v>165</v>
      </c>
      <c r="F3" s="29" t="s">
        <v>166</v>
      </c>
    </row>
    <row r="4" spans="1:6" x14ac:dyDescent="0.25">
      <c r="A4" s="30" t="s">
        <v>167</v>
      </c>
      <c r="B4" s="39" t="s">
        <v>224</v>
      </c>
      <c r="C4" s="40" t="s">
        <v>39</v>
      </c>
      <c r="D4" s="40" t="s">
        <v>234</v>
      </c>
      <c r="E4" s="40" t="s">
        <v>53</v>
      </c>
      <c r="F4" s="40" t="s">
        <v>41</v>
      </c>
    </row>
    <row r="5" spans="1:6" x14ac:dyDescent="0.25">
      <c r="A5" s="30" t="s">
        <v>168</v>
      </c>
      <c r="B5" s="40" t="s">
        <v>224</v>
      </c>
      <c r="C5" s="40" t="s">
        <v>53</v>
      </c>
      <c r="D5" s="40" t="s">
        <v>308</v>
      </c>
      <c r="E5" s="40" t="s">
        <v>41</v>
      </c>
      <c r="F5" s="40" t="s">
        <v>226</v>
      </c>
    </row>
    <row r="6" spans="1:6" x14ac:dyDescent="0.25">
      <c r="A6" s="30" t="s">
        <v>169</v>
      </c>
      <c r="B6" s="40" t="s">
        <v>226</v>
      </c>
      <c r="C6" s="40" t="s">
        <v>53</v>
      </c>
      <c r="D6" s="40" t="s">
        <v>41</v>
      </c>
      <c r="E6" s="40" t="s">
        <v>222</v>
      </c>
      <c r="F6" s="40" t="s">
        <v>35</v>
      </c>
    </row>
    <row r="7" spans="1:6" x14ac:dyDescent="0.25">
      <c r="A7" s="30" t="s">
        <v>170</v>
      </c>
      <c r="B7" s="31"/>
      <c r="C7" s="31"/>
      <c r="D7" s="31"/>
      <c r="E7" s="31"/>
      <c r="F7" s="31"/>
    </row>
    <row r="8" spans="1:6" x14ac:dyDescent="0.25">
      <c r="A8" s="30" t="s">
        <v>171</v>
      </c>
      <c r="B8" s="31"/>
      <c r="C8" s="31"/>
      <c r="D8" s="31"/>
      <c r="E8" s="31"/>
      <c r="F8" s="31"/>
    </row>
    <row r="10" spans="1:6" ht="16.5" x14ac:dyDescent="0.25">
      <c r="A10" s="27" t="s">
        <v>67</v>
      </c>
      <c r="B10" s="28"/>
      <c r="C10" s="28"/>
      <c r="D10" s="28"/>
      <c r="E10" s="28"/>
      <c r="F10" s="28"/>
    </row>
    <row r="11" spans="1:6" x14ac:dyDescent="0.25">
      <c r="A11" s="29" t="s">
        <v>161</v>
      </c>
      <c r="B11" s="29" t="s">
        <v>162</v>
      </c>
      <c r="C11" s="29" t="s">
        <v>163</v>
      </c>
      <c r="D11" s="29" t="s">
        <v>164</v>
      </c>
      <c r="E11" s="29" t="s">
        <v>165</v>
      </c>
      <c r="F11" s="29" t="s">
        <v>166</v>
      </c>
    </row>
    <row r="12" spans="1:6" x14ac:dyDescent="0.25">
      <c r="A12" s="30" t="s">
        <v>167</v>
      </c>
      <c r="B12" s="40" t="s">
        <v>72</v>
      </c>
      <c r="C12" s="40" t="s">
        <v>287</v>
      </c>
      <c r="D12" s="40" t="s">
        <v>285</v>
      </c>
      <c r="E12" s="40" t="s">
        <v>289</v>
      </c>
      <c r="F12" s="41" t="s">
        <v>85</v>
      </c>
    </row>
    <row r="13" spans="1:6" x14ac:dyDescent="0.25">
      <c r="A13" s="30" t="s">
        <v>168</v>
      </c>
      <c r="B13" s="40" t="s">
        <v>287</v>
      </c>
      <c r="C13" s="40" t="s">
        <v>285</v>
      </c>
      <c r="D13" s="40" t="s">
        <v>72</v>
      </c>
      <c r="E13" s="40" t="s">
        <v>309</v>
      </c>
      <c r="F13" s="40" t="s">
        <v>298</v>
      </c>
    </row>
    <row r="14" spans="1:6" x14ac:dyDescent="0.25">
      <c r="A14" s="30" t="s">
        <v>169</v>
      </c>
      <c r="B14" s="40" t="s">
        <v>287</v>
      </c>
      <c r="C14" s="40" t="s">
        <v>285</v>
      </c>
      <c r="D14" s="40" t="s">
        <v>72</v>
      </c>
      <c r="E14" s="40" t="s">
        <v>296</v>
      </c>
      <c r="F14" s="40" t="s">
        <v>293</v>
      </c>
    </row>
    <row r="15" spans="1:6" x14ac:dyDescent="0.25">
      <c r="A15" s="30" t="s">
        <v>170</v>
      </c>
      <c r="B15" s="40" t="s">
        <v>285</v>
      </c>
      <c r="C15" s="40" t="s">
        <v>72</v>
      </c>
      <c r="D15" s="40" t="s">
        <v>287</v>
      </c>
      <c r="E15" s="40" t="s">
        <v>296</v>
      </c>
      <c r="F15" s="40" t="s">
        <v>293</v>
      </c>
    </row>
    <row r="16" spans="1:6" x14ac:dyDescent="0.25">
      <c r="A16" s="30" t="s">
        <v>171</v>
      </c>
      <c r="B16" s="31"/>
      <c r="C16" s="31"/>
      <c r="D16" s="31"/>
      <c r="E16" s="31"/>
      <c r="F16" s="31"/>
    </row>
    <row r="18" spans="1:6" ht="16.5" x14ac:dyDescent="0.25">
      <c r="A18" s="27" t="s">
        <v>130</v>
      </c>
      <c r="B18" s="28"/>
      <c r="C18" s="28"/>
      <c r="D18" s="28"/>
      <c r="E18" s="28"/>
      <c r="F18" s="28"/>
    </row>
    <row r="19" spans="1:6" x14ac:dyDescent="0.25">
      <c r="A19" s="29" t="s">
        <v>161</v>
      </c>
      <c r="B19" s="29" t="s">
        <v>162</v>
      </c>
      <c r="C19" s="29" t="s">
        <v>163</v>
      </c>
      <c r="D19" s="29" t="s">
        <v>164</v>
      </c>
      <c r="E19" s="29" t="s">
        <v>165</v>
      </c>
      <c r="F19" s="29" t="s">
        <v>166</v>
      </c>
    </row>
    <row r="20" spans="1:6" x14ac:dyDescent="0.25">
      <c r="A20" s="30" t="s">
        <v>167</v>
      </c>
      <c r="B20" s="40" t="s">
        <v>194</v>
      </c>
      <c r="C20" s="40" t="s">
        <v>197</v>
      </c>
      <c r="D20" s="40" t="s">
        <v>202</v>
      </c>
      <c r="E20" s="40" t="s">
        <v>310</v>
      </c>
      <c r="F20" s="40" t="s">
        <v>198</v>
      </c>
    </row>
    <row r="21" spans="1:6" x14ac:dyDescent="0.25">
      <c r="A21" s="30" t="s">
        <v>168</v>
      </c>
      <c r="B21" s="40" t="s">
        <v>197</v>
      </c>
      <c r="C21" s="40" t="s">
        <v>194</v>
      </c>
      <c r="D21" s="40" t="s">
        <v>200</v>
      </c>
      <c r="E21" s="40" t="s">
        <v>206</v>
      </c>
      <c r="F21" s="40" t="s">
        <v>204</v>
      </c>
    </row>
    <row r="22" spans="1:6" x14ac:dyDescent="0.25">
      <c r="A22" s="30" t="s">
        <v>169</v>
      </c>
      <c r="B22" s="40" t="s">
        <v>197</v>
      </c>
      <c r="C22" s="40" t="s">
        <v>194</v>
      </c>
      <c r="D22" s="40" t="s">
        <v>206</v>
      </c>
      <c r="E22" s="40" t="s">
        <v>209</v>
      </c>
      <c r="F22" s="40" t="s">
        <v>198</v>
      </c>
    </row>
    <row r="23" spans="1:6" x14ac:dyDescent="0.25">
      <c r="A23" s="30" t="s">
        <v>170</v>
      </c>
      <c r="B23" s="31"/>
      <c r="C23" s="31"/>
      <c r="D23" s="31"/>
      <c r="E23" s="31"/>
      <c r="F23" s="31"/>
    </row>
    <row r="24" spans="1:6" x14ac:dyDescent="0.25">
      <c r="A24" s="30" t="s">
        <v>171</v>
      </c>
      <c r="B24" s="31"/>
      <c r="C24" s="31"/>
      <c r="D24" s="31"/>
      <c r="E24" s="31"/>
      <c r="F24" s="31"/>
    </row>
  </sheetData>
  <mergeCells count="1">
    <mergeCell ref="A1:F1"/>
  </mergeCells>
  <pageMargins left="0.75" right="0.75" top="1" bottom="1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4"/>
  <sheetViews>
    <sheetView zoomScaleNormal="100" workbookViewId="0">
      <selection sqref="A1:F1"/>
    </sheetView>
  </sheetViews>
  <sheetFormatPr defaultColWidth="8.7109375" defaultRowHeight="15" x14ac:dyDescent="0.25"/>
  <cols>
    <col min="1" max="1" width="12" customWidth="1"/>
    <col min="2" max="6" width="24" customWidth="1"/>
  </cols>
  <sheetData>
    <row r="1" spans="1:6" ht="18" x14ac:dyDescent="0.25">
      <c r="A1" s="45" t="s">
        <v>174</v>
      </c>
      <c r="B1" s="45"/>
      <c r="C1" s="45"/>
      <c r="D1" s="45"/>
      <c r="E1" s="45"/>
      <c r="F1" s="45"/>
    </row>
    <row r="2" spans="1:6" ht="16.5" x14ac:dyDescent="0.25">
      <c r="A2" s="27" t="s">
        <v>160</v>
      </c>
      <c r="B2" s="28"/>
      <c r="C2" s="28"/>
      <c r="D2" s="28"/>
      <c r="E2" s="28"/>
      <c r="F2" s="28"/>
    </row>
    <row r="3" spans="1:6" x14ac:dyDescent="0.25">
      <c r="A3" s="29" t="s">
        <v>161</v>
      </c>
      <c r="B3" s="29" t="s">
        <v>162</v>
      </c>
      <c r="C3" s="29" t="s">
        <v>163</v>
      </c>
      <c r="D3" s="29" t="s">
        <v>164</v>
      </c>
      <c r="E3" s="29" t="s">
        <v>165</v>
      </c>
      <c r="F3" s="29" t="s">
        <v>166</v>
      </c>
    </row>
    <row r="4" spans="1:6" x14ac:dyDescent="0.25">
      <c r="A4" s="30" t="s">
        <v>167</v>
      </c>
      <c r="B4" s="31"/>
      <c r="C4" s="31"/>
      <c r="D4" s="31"/>
      <c r="E4" s="31"/>
      <c r="F4" s="31"/>
    </row>
    <row r="5" spans="1:6" x14ac:dyDescent="0.25">
      <c r="A5" s="30" t="s">
        <v>168</v>
      </c>
      <c r="B5" s="31"/>
      <c r="C5" s="31"/>
      <c r="D5" s="31"/>
      <c r="E5" s="31"/>
      <c r="F5" s="31"/>
    </row>
    <row r="6" spans="1:6" x14ac:dyDescent="0.25">
      <c r="A6" s="30" t="s">
        <v>169</v>
      </c>
      <c r="B6" s="31"/>
      <c r="C6" s="31"/>
      <c r="D6" s="31"/>
      <c r="E6" s="31"/>
      <c r="F6" s="31"/>
    </row>
    <row r="7" spans="1:6" x14ac:dyDescent="0.25">
      <c r="A7" s="30" t="s">
        <v>170</v>
      </c>
      <c r="B7" s="31"/>
      <c r="C7" s="31"/>
      <c r="D7" s="31"/>
      <c r="E7" s="31"/>
      <c r="F7" s="31"/>
    </row>
    <row r="8" spans="1:6" x14ac:dyDescent="0.25">
      <c r="A8" s="30" t="s">
        <v>171</v>
      </c>
      <c r="B8" s="31"/>
      <c r="C8" s="31"/>
      <c r="D8" s="31"/>
      <c r="E8" s="31"/>
      <c r="F8" s="31"/>
    </row>
    <row r="10" spans="1:6" ht="16.5" x14ac:dyDescent="0.25">
      <c r="A10" s="27" t="s">
        <v>67</v>
      </c>
      <c r="B10" s="28"/>
      <c r="C10" s="28"/>
      <c r="D10" s="28"/>
      <c r="E10" s="28"/>
      <c r="F10" s="28"/>
    </row>
    <row r="11" spans="1:6" x14ac:dyDescent="0.25">
      <c r="A11" s="29" t="s">
        <v>161</v>
      </c>
      <c r="B11" s="29" t="s">
        <v>162</v>
      </c>
      <c r="C11" s="29" t="s">
        <v>163</v>
      </c>
      <c r="D11" s="29" t="s">
        <v>164</v>
      </c>
      <c r="E11" s="29" t="s">
        <v>165</v>
      </c>
      <c r="F11" s="29" t="s">
        <v>166</v>
      </c>
    </row>
    <row r="12" spans="1:6" x14ac:dyDescent="0.25">
      <c r="A12" s="30" t="s">
        <v>167</v>
      </c>
      <c r="B12" s="31"/>
      <c r="C12" s="31"/>
      <c r="D12" s="31"/>
      <c r="E12" s="31"/>
      <c r="F12" s="31"/>
    </row>
    <row r="13" spans="1:6" x14ac:dyDescent="0.25">
      <c r="A13" s="30" t="s">
        <v>168</v>
      </c>
      <c r="B13" s="31"/>
      <c r="C13" s="31"/>
      <c r="D13" s="31"/>
      <c r="E13" s="31"/>
      <c r="F13" s="31"/>
    </row>
    <row r="14" spans="1:6" x14ac:dyDescent="0.25">
      <c r="A14" s="30" t="s">
        <v>169</v>
      </c>
      <c r="B14" s="31"/>
      <c r="C14" s="31"/>
      <c r="D14" s="31"/>
      <c r="E14" s="31"/>
      <c r="F14" s="31"/>
    </row>
    <row r="15" spans="1:6" x14ac:dyDescent="0.25">
      <c r="A15" s="30" t="s">
        <v>170</v>
      </c>
      <c r="B15" s="31"/>
      <c r="C15" s="31"/>
      <c r="D15" s="31"/>
      <c r="E15" s="31"/>
      <c r="F15" s="31"/>
    </row>
    <row r="16" spans="1:6" x14ac:dyDescent="0.25">
      <c r="A16" s="30" t="s">
        <v>171</v>
      </c>
      <c r="B16" s="31"/>
      <c r="C16" s="31"/>
      <c r="D16" s="31"/>
      <c r="E16" s="31"/>
      <c r="F16" s="31"/>
    </row>
    <row r="18" spans="1:6" ht="16.5" x14ac:dyDescent="0.25">
      <c r="A18" s="27" t="s">
        <v>130</v>
      </c>
      <c r="B18" s="28"/>
      <c r="C18" s="28"/>
      <c r="D18" s="28"/>
      <c r="E18" s="28"/>
      <c r="F18" s="28"/>
    </row>
    <row r="19" spans="1:6" x14ac:dyDescent="0.25">
      <c r="A19" s="29" t="s">
        <v>161</v>
      </c>
      <c r="B19" s="29" t="s">
        <v>162</v>
      </c>
      <c r="C19" s="29" t="s">
        <v>163</v>
      </c>
      <c r="D19" s="29" t="s">
        <v>164</v>
      </c>
      <c r="E19" s="29" t="s">
        <v>165</v>
      </c>
      <c r="F19" s="29" t="s">
        <v>166</v>
      </c>
    </row>
    <row r="20" spans="1:6" x14ac:dyDescent="0.25">
      <c r="A20" s="30" t="s">
        <v>167</v>
      </c>
      <c r="B20" s="31"/>
      <c r="C20" s="31"/>
      <c r="D20" s="31"/>
      <c r="E20" s="31"/>
      <c r="F20" s="31"/>
    </row>
    <row r="21" spans="1:6" x14ac:dyDescent="0.25">
      <c r="A21" s="30" t="s">
        <v>168</v>
      </c>
      <c r="B21" s="31"/>
      <c r="C21" s="31"/>
      <c r="D21" s="31"/>
      <c r="E21" s="31"/>
      <c r="F21" s="31"/>
    </row>
    <row r="22" spans="1:6" x14ac:dyDescent="0.25">
      <c r="A22" s="30" t="s">
        <v>169</v>
      </c>
      <c r="B22" s="31"/>
      <c r="C22" s="31"/>
      <c r="D22" s="31"/>
      <c r="E22" s="31"/>
      <c r="F22" s="31"/>
    </row>
    <row r="23" spans="1:6" x14ac:dyDescent="0.25">
      <c r="A23" s="30" t="s">
        <v>170</v>
      </c>
      <c r="B23" s="31"/>
      <c r="C23" s="31"/>
      <c r="D23" s="31"/>
      <c r="E23" s="31"/>
      <c r="F23" s="31"/>
    </row>
    <row r="24" spans="1:6" x14ac:dyDescent="0.25">
      <c r="A24" s="30" t="s">
        <v>171</v>
      </c>
      <c r="B24" s="31"/>
      <c r="C24" s="31"/>
      <c r="D24" s="31"/>
      <c r="E24" s="31"/>
      <c r="F24" s="31"/>
    </row>
  </sheetData>
  <mergeCells count="1">
    <mergeCell ref="A1:F1"/>
  </mergeCells>
  <pageMargins left="0.75" right="0.75" top="1" bottom="1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4"/>
  <sheetViews>
    <sheetView zoomScaleNormal="100" workbookViewId="0">
      <selection sqref="A1:F1"/>
    </sheetView>
  </sheetViews>
  <sheetFormatPr defaultColWidth="8.7109375" defaultRowHeight="15" x14ac:dyDescent="0.25"/>
  <cols>
    <col min="1" max="1" width="12" customWidth="1"/>
    <col min="2" max="6" width="24" customWidth="1"/>
  </cols>
  <sheetData>
    <row r="1" spans="1:6" ht="18" x14ac:dyDescent="0.25">
      <c r="A1" s="45" t="s">
        <v>175</v>
      </c>
      <c r="B1" s="45"/>
      <c r="C1" s="45"/>
      <c r="D1" s="45"/>
      <c r="E1" s="45"/>
      <c r="F1" s="45"/>
    </row>
    <row r="2" spans="1:6" ht="16.5" x14ac:dyDescent="0.25">
      <c r="A2" s="27" t="s">
        <v>160</v>
      </c>
      <c r="B2" s="28"/>
      <c r="C2" s="28"/>
      <c r="D2" s="28"/>
      <c r="E2" s="28"/>
      <c r="F2" s="28"/>
    </row>
    <row r="3" spans="1:6" x14ac:dyDescent="0.25">
      <c r="A3" s="29" t="s">
        <v>161</v>
      </c>
      <c r="B3" s="29" t="s">
        <v>162</v>
      </c>
      <c r="C3" s="29" t="s">
        <v>163</v>
      </c>
      <c r="D3" s="29" t="s">
        <v>164</v>
      </c>
      <c r="E3" s="29" t="s">
        <v>165</v>
      </c>
      <c r="F3" s="29" t="s">
        <v>166</v>
      </c>
    </row>
    <row r="4" spans="1:6" x14ac:dyDescent="0.25">
      <c r="A4" s="30" t="s">
        <v>167</v>
      </c>
      <c r="B4" s="31"/>
      <c r="C4" s="31"/>
      <c r="D4" s="31"/>
      <c r="E4" s="31"/>
      <c r="F4" s="31"/>
    </row>
    <row r="5" spans="1:6" x14ac:dyDescent="0.25">
      <c r="A5" s="30" t="s">
        <v>168</v>
      </c>
      <c r="B5" s="31"/>
      <c r="C5" s="31"/>
      <c r="D5" s="31"/>
      <c r="E5" s="31"/>
      <c r="F5" s="31"/>
    </row>
    <row r="6" spans="1:6" x14ac:dyDescent="0.25">
      <c r="A6" s="30" t="s">
        <v>169</v>
      </c>
      <c r="B6" s="31"/>
      <c r="C6" s="31"/>
      <c r="D6" s="31"/>
      <c r="E6" s="31"/>
      <c r="F6" s="31"/>
    </row>
    <row r="7" spans="1:6" x14ac:dyDescent="0.25">
      <c r="A7" s="30" t="s">
        <v>170</v>
      </c>
      <c r="B7" s="31"/>
      <c r="C7" s="31"/>
      <c r="D7" s="31"/>
      <c r="E7" s="31"/>
      <c r="F7" s="31"/>
    </row>
    <row r="8" spans="1:6" x14ac:dyDescent="0.25">
      <c r="A8" s="30" t="s">
        <v>171</v>
      </c>
      <c r="B8" s="31"/>
      <c r="C8" s="31"/>
      <c r="D8" s="31"/>
      <c r="E8" s="31"/>
      <c r="F8" s="31"/>
    </row>
    <row r="10" spans="1:6" ht="16.5" x14ac:dyDescent="0.25">
      <c r="A10" s="27" t="s">
        <v>67</v>
      </c>
      <c r="B10" s="28"/>
      <c r="C10" s="28"/>
      <c r="D10" s="28"/>
      <c r="E10" s="28"/>
      <c r="F10" s="28"/>
    </row>
    <row r="11" spans="1:6" x14ac:dyDescent="0.25">
      <c r="A11" s="29" t="s">
        <v>161</v>
      </c>
      <c r="B11" s="29" t="s">
        <v>162</v>
      </c>
      <c r="C11" s="29" t="s">
        <v>163</v>
      </c>
      <c r="D11" s="29" t="s">
        <v>164</v>
      </c>
      <c r="E11" s="29" t="s">
        <v>165</v>
      </c>
      <c r="F11" s="29" t="s">
        <v>166</v>
      </c>
    </row>
    <row r="12" spans="1:6" x14ac:dyDescent="0.25">
      <c r="A12" s="30" t="s">
        <v>167</v>
      </c>
      <c r="B12" s="31"/>
      <c r="C12" s="31"/>
      <c r="D12" s="31"/>
      <c r="E12" s="31"/>
      <c r="F12" s="31"/>
    </row>
    <row r="13" spans="1:6" x14ac:dyDescent="0.25">
      <c r="A13" s="30" t="s">
        <v>168</v>
      </c>
      <c r="B13" s="31"/>
      <c r="C13" s="31"/>
      <c r="D13" s="31"/>
      <c r="E13" s="31"/>
      <c r="F13" s="31"/>
    </row>
    <row r="14" spans="1:6" x14ac:dyDescent="0.25">
      <c r="A14" s="30" t="s">
        <v>169</v>
      </c>
      <c r="B14" s="31"/>
      <c r="C14" s="31"/>
      <c r="D14" s="31"/>
      <c r="E14" s="31"/>
      <c r="F14" s="31"/>
    </row>
    <row r="15" spans="1:6" x14ac:dyDescent="0.25">
      <c r="A15" s="30" t="s">
        <v>170</v>
      </c>
      <c r="B15" s="31"/>
      <c r="C15" s="31"/>
      <c r="D15" s="31"/>
      <c r="E15" s="31"/>
      <c r="F15" s="31"/>
    </row>
    <row r="16" spans="1:6" x14ac:dyDescent="0.25">
      <c r="A16" s="30" t="s">
        <v>171</v>
      </c>
      <c r="B16" s="31"/>
      <c r="C16" s="31"/>
      <c r="D16" s="31"/>
      <c r="E16" s="31"/>
      <c r="F16" s="31"/>
    </row>
    <row r="18" spans="1:6" ht="16.5" x14ac:dyDescent="0.25">
      <c r="A18" s="27" t="s">
        <v>130</v>
      </c>
      <c r="B18" s="28"/>
      <c r="C18" s="28"/>
      <c r="D18" s="28"/>
      <c r="E18" s="28"/>
      <c r="F18" s="28"/>
    </row>
    <row r="19" spans="1:6" x14ac:dyDescent="0.25">
      <c r="A19" s="29" t="s">
        <v>161</v>
      </c>
      <c r="B19" s="29" t="s">
        <v>162</v>
      </c>
      <c r="C19" s="29" t="s">
        <v>163</v>
      </c>
      <c r="D19" s="29" t="s">
        <v>164</v>
      </c>
      <c r="E19" s="29" t="s">
        <v>165</v>
      </c>
      <c r="F19" s="29" t="s">
        <v>166</v>
      </c>
    </row>
    <row r="20" spans="1:6" x14ac:dyDescent="0.25">
      <c r="A20" s="30" t="s">
        <v>167</v>
      </c>
      <c r="B20" s="31"/>
      <c r="C20" s="31"/>
      <c r="D20" s="31"/>
      <c r="E20" s="31"/>
      <c r="F20" s="31"/>
    </row>
    <row r="21" spans="1:6" x14ac:dyDescent="0.25">
      <c r="A21" s="30" t="s">
        <v>168</v>
      </c>
      <c r="B21" s="31"/>
      <c r="C21" s="31"/>
      <c r="D21" s="31"/>
      <c r="E21" s="31"/>
      <c r="F21" s="31"/>
    </row>
    <row r="22" spans="1:6" x14ac:dyDescent="0.25">
      <c r="A22" s="30" t="s">
        <v>169</v>
      </c>
      <c r="B22" s="31"/>
      <c r="C22" s="31"/>
      <c r="D22" s="31"/>
      <c r="E22" s="31"/>
      <c r="F22" s="31"/>
    </row>
    <row r="23" spans="1:6" x14ac:dyDescent="0.25">
      <c r="A23" s="30" t="s">
        <v>170</v>
      </c>
      <c r="B23" s="31"/>
      <c r="C23" s="31"/>
      <c r="D23" s="31"/>
      <c r="E23" s="31"/>
      <c r="F23" s="31"/>
    </row>
    <row r="24" spans="1:6" x14ac:dyDescent="0.25">
      <c r="A24" s="30" t="s">
        <v>171</v>
      </c>
      <c r="B24" s="31"/>
      <c r="C24" s="31"/>
      <c r="D24" s="31"/>
      <c r="E24" s="31"/>
      <c r="F24" s="31"/>
    </row>
  </sheetData>
  <mergeCells count="1">
    <mergeCell ref="A1:F1"/>
  </mergeCells>
  <pageMargins left="0.75" right="0.75" top="1" bottom="1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C125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M21" sqref="M21"/>
    </sheetView>
  </sheetViews>
  <sheetFormatPr defaultColWidth="8.7109375" defaultRowHeight="15" x14ac:dyDescent="0.25"/>
  <cols>
    <col min="1" max="1" width="28" customWidth="1"/>
    <col min="2" max="2" width="24" customWidth="1"/>
    <col min="3" max="7" width="8" customWidth="1"/>
    <col min="8" max="9" width="10" customWidth="1"/>
    <col min="27" max="29" width="13" hidden="1" customWidth="1"/>
  </cols>
  <sheetData>
    <row r="1" spans="1:29" ht="18" x14ac:dyDescent="0.25">
      <c r="A1" s="46" t="s">
        <v>176</v>
      </c>
      <c r="B1" s="46"/>
      <c r="C1" s="46"/>
      <c r="D1" s="46"/>
      <c r="E1" s="46"/>
      <c r="F1" s="46"/>
      <c r="G1" s="46"/>
      <c r="H1" s="46"/>
      <c r="I1" s="46"/>
      <c r="AA1">
        <f>'Sprint W1'!B4</f>
        <v>0</v>
      </c>
      <c r="AB1">
        <f>IF(AA1="",0,IF(COUNTIF($AA$1:AA1,AA1)=1,1,0))</f>
        <v>1</v>
      </c>
      <c r="AC1">
        <f>IF(AB1=1,COUNTIF($AB$1:AB1,1),"")</f>
        <v>1</v>
      </c>
    </row>
    <row r="2" spans="1:29" x14ac:dyDescent="0.25">
      <c r="A2" s="43" t="s">
        <v>177</v>
      </c>
      <c r="B2" s="43"/>
      <c r="C2" s="43"/>
      <c r="D2" s="43"/>
      <c r="E2" s="43"/>
      <c r="F2" s="43"/>
      <c r="G2" s="43"/>
      <c r="H2" s="43"/>
      <c r="I2" s="43"/>
      <c r="AA2">
        <f>'Sprint W1'!C4</f>
        <v>0</v>
      </c>
      <c r="AB2">
        <f>IF(AA2="",0,IF(COUNTIF($AA$1:AA2,AA2)=1,1,0))</f>
        <v>0</v>
      </c>
      <c r="AC2" t="str">
        <f>IF(AB2=1,COUNTIF($AB$1:AB2,1),"")</f>
        <v/>
      </c>
    </row>
    <row r="3" spans="1:29" x14ac:dyDescent="0.25">
      <c r="A3" s="32" t="s">
        <v>27</v>
      </c>
      <c r="B3" s="32" t="s">
        <v>29</v>
      </c>
      <c r="C3" s="32" t="s">
        <v>178</v>
      </c>
      <c r="D3" s="32" t="s">
        <v>179</v>
      </c>
      <c r="E3" s="32" t="s">
        <v>180</v>
      </c>
      <c r="F3" s="32" t="s">
        <v>181</v>
      </c>
      <c r="G3" s="32" t="s">
        <v>182</v>
      </c>
      <c r="H3" s="32" t="s">
        <v>155</v>
      </c>
      <c r="I3" s="32" t="s">
        <v>25</v>
      </c>
      <c r="AA3">
        <f>'Sprint W1'!D4</f>
        <v>0</v>
      </c>
      <c r="AB3">
        <f>IF(AA3="",0,IF(COUNTIF($AA$1:AA3,AA3)=1,1,0))</f>
        <v>0</v>
      </c>
      <c r="AC3" t="str">
        <f>IF(AB3=1,COUNTIF($AB$1:AB3,1),"")</f>
        <v/>
      </c>
    </row>
    <row r="4" spans="1:29" x14ac:dyDescent="0.25">
      <c r="A4" s="13" t="str">
        <f>IFERROR(INDEX($AA$1:$AA$125,MATCH(3,$AC$1:$AC$125,0)),"")</f>
        <v>Florijn van der Vliet</v>
      </c>
      <c r="B4" s="33"/>
      <c r="C4" s="15">
        <f>IF($A4="",0,COUNTIF('Sprint W1'!$B$4:$B$8,$A4)*5+COUNTIF('Sprint W1'!$C$4:$C$8,$A4)*4+COUNTIF('Sprint W1'!$D$4:$D$8,$A4)*3+COUNTIF('Sprint W1'!$E$4:$E$8,$A4)*2+COUNTIF('Sprint W1'!$F$4:$F$8,$A4)*1)</f>
        <v>0</v>
      </c>
      <c r="D4" s="15">
        <f>IF($A4="",0,COUNTIF('Sprint W2'!$B$4:$B$8,$A4)*5+COUNTIF('Sprint W2'!$C$4:$C$8,$A4)*4+COUNTIF('Sprint W2'!$D$4:$D$8,$A4)*3+COUNTIF('Sprint W2'!$E$4:$E$8,$A4)*2+COUNTIF('Sprint W2'!$F$4:$F$8,$A4)*1)</f>
        <v>20</v>
      </c>
      <c r="E4" s="15">
        <f>IF($A4="",0,COUNTIF('Sprint W3'!$B$4:$B$8,$A4)*5+COUNTIF('Sprint W3'!$C$4:$C$8,$A4)*4+COUNTIF('Sprint W3'!$D$4:$D$8,$A4)*3+COUNTIF('Sprint W3'!$E$4:$E$8,$A4)*2+COUNTIF('Sprint W3'!$F$4:$F$8,$A4)*1)</f>
        <v>0</v>
      </c>
      <c r="F4" s="15">
        <f>IF($A4="",0,COUNTIF('Sprint W4'!$B$4:$B$8,$A4)*5+COUNTIF('Sprint W4'!$C$4:$C$8,$A4)*4+COUNTIF('Sprint W4'!$D$4:$D$8,$A4)*3+COUNTIF('Sprint W4'!$E$4:$E$8,$A4)*2+COUNTIF('Sprint W4'!$F$4:$F$8,$A4)*1)</f>
        <v>0</v>
      </c>
      <c r="G4" s="15">
        <f>IF($A4="",0,COUNTIF('Sprint W5'!$B$4:$B$8,$A4)*5+COUNTIF('Sprint W5'!$C$4:$C$8,$A4)*4+COUNTIF('Sprint W5'!$D$4:$D$8,$A4)*3+COUNTIF('Sprint W5'!$E$4:$E$8,$A4)*2+COUNTIF('Sprint W5'!$F$4:$F$8,$A4)*1)</f>
        <v>0</v>
      </c>
      <c r="H4" s="25">
        <f t="shared" ref="H4:H35" si="0">IF($A4="","",C4+D4+E4+F4+G4)</f>
        <v>20</v>
      </c>
      <c r="I4" s="26">
        <f t="shared" ref="I4:I35" si="1">IF(OR($A4="",H4="",H4=0),"",RANK(H4,$H$4:$H$103,0))</f>
        <v>1</v>
      </c>
      <c r="AA4">
        <f>'Sprint W1'!E4</f>
        <v>0</v>
      </c>
      <c r="AB4">
        <f>IF(AA4="",0,IF(COUNTIF($AA$1:AA4,AA4)=1,1,0))</f>
        <v>0</v>
      </c>
      <c r="AC4" t="str">
        <f>IF(AB4=1,COUNTIF($AB$1:AB4,1),"")</f>
        <v/>
      </c>
    </row>
    <row r="5" spans="1:29" x14ac:dyDescent="0.25">
      <c r="A5" s="13" t="str">
        <f>IFERROR(INDEX($AA$1:$AA$125,MATCH(2,$AC$1:$AC$125,0)),"")</f>
        <v>Niels Immerzeel</v>
      </c>
      <c r="B5" s="33"/>
      <c r="C5" s="15">
        <f>IF($A5="",0,COUNTIF('Sprint W1'!$B$4:$B$8,$A5)*5+COUNTIF('Sprint W1'!$C$4:$C$8,$A5)*4+COUNTIF('Sprint W1'!$D$4:$D$8,$A5)*3+COUNTIF('Sprint W1'!$E$4:$E$8,$A5)*2+COUNTIF('Sprint W1'!$F$4:$F$8,$A5)*1)</f>
        <v>0</v>
      </c>
      <c r="D5" s="15">
        <f>IF($A5="",0,COUNTIF('Sprint W2'!$B$4:$B$8,$A5)*5+COUNTIF('Sprint W2'!$C$4:$C$8,$A5)*4+COUNTIF('Sprint W2'!$D$4:$D$8,$A5)*3+COUNTIF('Sprint W2'!$E$4:$E$8,$A5)*2+COUNTIF('Sprint W2'!$F$4:$F$8,$A5)*1)</f>
        <v>16</v>
      </c>
      <c r="E5" s="15">
        <f>IF($A5="",0,COUNTIF('Sprint W3'!$B$4:$B$8,$A5)*5+COUNTIF('Sprint W3'!$C$4:$C$8,$A5)*4+COUNTIF('Sprint W3'!$D$4:$D$8,$A5)*3+COUNTIF('Sprint W3'!$E$4:$E$8,$A5)*2+COUNTIF('Sprint W3'!$F$4:$F$8,$A5)*1)</f>
        <v>4</v>
      </c>
      <c r="F5" s="15">
        <f>IF($A5="",0,COUNTIF('Sprint W4'!$B$4:$B$8,$A5)*5+COUNTIF('Sprint W4'!$C$4:$C$8,$A5)*4+COUNTIF('Sprint W4'!$D$4:$D$8,$A5)*3+COUNTIF('Sprint W4'!$E$4:$E$8,$A5)*2+COUNTIF('Sprint W4'!$F$4:$F$8,$A5)*1)</f>
        <v>0</v>
      </c>
      <c r="G5" s="15">
        <f>IF($A5="",0,COUNTIF('Sprint W5'!$B$4:$B$8,$A5)*5+COUNTIF('Sprint W5'!$C$4:$C$8,$A5)*4+COUNTIF('Sprint W5'!$D$4:$D$8,$A5)*3+COUNTIF('Sprint W5'!$E$4:$E$8,$A5)*2+COUNTIF('Sprint W5'!$F$4:$F$8,$A5)*1)</f>
        <v>0</v>
      </c>
      <c r="H5" s="25">
        <f t="shared" si="0"/>
        <v>20</v>
      </c>
      <c r="I5" s="26">
        <f t="shared" si="1"/>
        <v>1</v>
      </c>
      <c r="AA5">
        <f>'Sprint W1'!F4</f>
        <v>0</v>
      </c>
      <c r="AB5">
        <f>IF(AA5="",0,IF(COUNTIF($AA$1:AA5,AA5)=1,1,0))</f>
        <v>0</v>
      </c>
      <c r="AC5" t="str">
        <f>IF(AB5=1,COUNTIF($AB$1:AB5,1),"")</f>
        <v/>
      </c>
    </row>
    <row r="6" spans="1:29" x14ac:dyDescent="0.25">
      <c r="A6" s="13" t="str">
        <f>IFERROR(INDEX($AA$1:$AA$125,MATCH(9,$AC$1:$AC$125,0)),"")</f>
        <v>Niek Bos</v>
      </c>
      <c r="B6" s="33"/>
      <c r="C6" s="15">
        <f>IF($A6="",0,COUNTIF('Sprint W1'!$B$4:$B$8,$A6)*5+COUNTIF('Sprint W1'!$C$4:$C$8,$A6)*4+COUNTIF('Sprint W1'!$D$4:$D$8,$A6)*3+COUNTIF('Sprint W1'!$E$4:$E$8,$A6)*2+COUNTIF('Sprint W1'!$F$4:$F$8,$A6)*1)</f>
        <v>0</v>
      </c>
      <c r="D6" s="15">
        <f>IF($A6="",0,COUNTIF('Sprint W2'!$B$4:$B$8,$A6)*5+COUNTIF('Sprint W2'!$C$4:$C$8,$A6)*4+COUNTIF('Sprint W2'!$D$4:$D$8,$A6)*3+COUNTIF('Sprint W2'!$E$4:$E$8,$A6)*2+COUNTIF('Sprint W2'!$F$4:$F$8,$A6)*1)</f>
        <v>13</v>
      </c>
      <c r="E6" s="15">
        <f>IF($A6="",0,COUNTIF('Sprint W3'!$B$4:$B$8,$A6)*5+COUNTIF('Sprint W3'!$C$4:$C$8,$A6)*4+COUNTIF('Sprint W3'!$D$4:$D$8,$A6)*3+COUNTIF('Sprint W3'!$E$4:$E$8,$A6)*2+COUNTIF('Sprint W3'!$F$4:$F$8,$A6)*1)</f>
        <v>0</v>
      </c>
      <c r="F6" s="15">
        <f>IF($A6="",0,COUNTIF('Sprint W4'!$B$4:$B$8,$A6)*5+COUNTIF('Sprint W4'!$C$4:$C$8,$A6)*4+COUNTIF('Sprint W4'!$D$4:$D$8,$A6)*3+COUNTIF('Sprint W4'!$E$4:$E$8,$A6)*2+COUNTIF('Sprint W4'!$F$4:$F$8,$A6)*1)</f>
        <v>0</v>
      </c>
      <c r="G6" s="15">
        <f>IF($A6="",0,COUNTIF('Sprint W5'!$B$4:$B$8,$A6)*5+COUNTIF('Sprint W5'!$C$4:$C$8,$A6)*4+COUNTIF('Sprint W5'!$D$4:$D$8,$A6)*3+COUNTIF('Sprint W5'!$E$4:$E$8,$A6)*2+COUNTIF('Sprint W5'!$F$4:$F$8,$A6)*1)</f>
        <v>0</v>
      </c>
      <c r="H6" s="25">
        <f t="shared" si="0"/>
        <v>13</v>
      </c>
      <c r="I6" s="26">
        <f t="shared" si="1"/>
        <v>3</v>
      </c>
      <c r="AA6">
        <f>'Sprint W1'!B5</f>
        <v>0</v>
      </c>
      <c r="AB6">
        <f>IF(AA6="",0,IF(COUNTIF($AA$1:AA6,AA6)=1,1,0))</f>
        <v>0</v>
      </c>
      <c r="AC6" t="str">
        <f>IF(AB6=1,COUNTIF($AB$1:AB6,1),"")</f>
        <v/>
      </c>
    </row>
    <row r="7" spans="1:29" x14ac:dyDescent="0.25">
      <c r="A7" s="13" t="str">
        <f>IFERROR(INDEX($AA$1:$AA$125,MATCH(4,$AC$1:$AC$125,0)),"")</f>
        <v>Lars de Weert</v>
      </c>
      <c r="B7" s="33"/>
      <c r="C7" s="15">
        <f>IF($A7="",0,COUNTIF('Sprint W1'!$B$4:$B$8,$A7)*5+COUNTIF('Sprint W1'!$C$4:$C$8,$A7)*4+COUNTIF('Sprint W1'!$D$4:$D$8,$A7)*3+COUNTIF('Sprint W1'!$E$4:$E$8,$A7)*2+COUNTIF('Sprint W1'!$F$4:$F$8,$A7)*1)</f>
        <v>0</v>
      </c>
      <c r="D7" s="15">
        <f>IF($A7="",0,COUNTIF('Sprint W2'!$B$4:$B$8,$A7)*5+COUNTIF('Sprint W2'!$C$4:$C$8,$A7)*4+COUNTIF('Sprint W2'!$D$4:$D$8,$A7)*3+COUNTIF('Sprint W2'!$E$4:$E$8,$A7)*2+COUNTIF('Sprint W2'!$F$4:$F$8,$A7)*1)</f>
        <v>10</v>
      </c>
      <c r="E7" s="15">
        <f>IF($A7="",0,COUNTIF('Sprint W3'!$B$4:$B$8,$A7)*5+COUNTIF('Sprint W3'!$C$4:$C$8,$A7)*4+COUNTIF('Sprint W3'!$D$4:$D$8,$A7)*3+COUNTIF('Sprint W3'!$E$4:$E$8,$A7)*2+COUNTIF('Sprint W3'!$F$4:$F$8,$A7)*1)</f>
        <v>0</v>
      </c>
      <c r="F7" s="15">
        <f>IF($A7="",0,COUNTIF('Sprint W4'!$B$4:$B$8,$A7)*5+COUNTIF('Sprint W4'!$C$4:$C$8,$A7)*4+COUNTIF('Sprint W4'!$D$4:$D$8,$A7)*3+COUNTIF('Sprint W4'!$E$4:$E$8,$A7)*2+COUNTIF('Sprint W4'!$F$4:$F$8,$A7)*1)</f>
        <v>0</v>
      </c>
      <c r="G7" s="15">
        <f>IF($A7="",0,COUNTIF('Sprint W5'!$B$4:$B$8,$A7)*5+COUNTIF('Sprint W5'!$C$4:$C$8,$A7)*4+COUNTIF('Sprint W5'!$D$4:$D$8,$A7)*3+COUNTIF('Sprint W5'!$E$4:$E$8,$A7)*2+COUNTIF('Sprint W5'!$F$4:$F$8,$A7)*1)</f>
        <v>0</v>
      </c>
      <c r="H7" s="25">
        <f t="shared" si="0"/>
        <v>10</v>
      </c>
      <c r="I7" s="26">
        <f t="shared" si="1"/>
        <v>4</v>
      </c>
      <c r="AA7">
        <f>'Sprint W1'!C5</f>
        <v>0</v>
      </c>
      <c r="AB7">
        <f>IF(AA7="",0,IF(COUNTIF($AA$1:AA7,AA7)=1,1,0))</f>
        <v>0</v>
      </c>
      <c r="AC7" t="str">
        <f>IF(AB7=1,COUNTIF($AB$1:AB7,1),"")</f>
        <v/>
      </c>
    </row>
    <row r="8" spans="1:29" x14ac:dyDescent="0.25">
      <c r="A8" s="13" t="str">
        <f>IFERROR(INDEX($AA$1:$AA$125,MATCH(12,$AC$1:$AC$125,0)),"")</f>
        <v>Lennart Nelisse</v>
      </c>
      <c r="B8" s="33"/>
      <c r="C8" s="15">
        <f>IF($A8="",0,COUNTIF('Sprint W1'!$B$4:$B$8,$A8)*5+COUNTIF('Sprint W1'!$C$4:$C$8,$A8)*4+COUNTIF('Sprint W1'!$D$4:$D$8,$A8)*3+COUNTIF('Sprint W1'!$E$4:$E$8,$A8)*2+COUNTIF('Sprint W1'!$F$4:$F$8,$A8)*1)</f>
        <v>0</v>
      </c>
      <c r="D8" s="15">
        <f>IF($A8="",0,COUNTIF('Sprint W2'!$B$4:$B$8,$A8)*5+COUNTIF('Sprint W2'!$C$4:$C$8,$A8)*4+COUNTIF('Sprint W2'!$D$4:$D$8,$A8)*3+COUNTIF('Sprint W2'!$E$4:$E$8,$A8)*2+COUNTIF('Sprint W2'!$F$4:$F$8,$A8)*1)</f>
        <v>0</v>
      </c>
      <c r="E8" s="15">
        <f>IF($A8="",0,COUNTIF('Sprint W3'!$B$4:$B$8,$A8)*5+COUNTIF('Sprint W3'!$C$4:$C$8,$A8)*4+COUNTIF('Sprint W3'!$D$4:$D$8,$A8)*3+COUNTIF('Sprint W3'!$E$4:$E$8,$A8)*2+COUNTIF('Sprint W3'!$F$4:$F$8,$A8)*1)</f>
        <v>10</v>
      </c>
      <c r="F8" s="15">
        <f>IF($A8="",0,COUNTIF('Sprint W4'!$B$4:$B$8,$A8)*5+COUNTIF('Sprint W4'!$C$4:$C$8,$A8)*4+COUNTIF('Sprint W4'!$D$4:$D$8,$A8)*3+COUNTIF('Sprint W4'!$E$4:$E$8,$A8)*2+COUNTIF('Sprint W4'!$F$4:$F$8,$A8)*1)</f>
        <v>0</v>
      </c>
      <c r="G8" s="15">
        <f>IF($A8="",0,COUNTIF('Sprint W5'!$B$4:$B$8,$A8)*5+COUNTIF('Sprint W5'!$C$4:$C$8,$A8)*4+COUNTIF('Sprint W5'!$D$4:$D$8,$A8)*3+COUNTIF('Sprint W5'!$E$4:$E$8,$A8)*2+COUNTIF('Sprint W5'!$F$4:$F$8,$A8)*1)</f>
        <v>0</v>
      </c>
      <c r="H8" s="25">
        <f t="shared" si="0"/>
        <v>10</v>
      </c>
      <c r="I8" s="26">
        <f t="shared" si="1"/>
        <v>4</v>
      </c>
      <c r="AA8">
        <f>'Sprint W1'!D5</f>
        <v>0</v>
      </c>
      <c r="AB8">
        <f>IF(AA8="",0,IF(COUNTIF($AA$1:AA8,AA8)=1,1,0))</f>
        <v>0</v>
      </c>
      <c r="AC8" t="str">
        <f>IF(AB8=1,COUNTIF($AB$1:AB8,1),"")</f>
        <v/>
      </c>
    </row>
    <row r="9" spans="1:29" x14ac:dyDescent="0.25">
      <c r="A9" s="13" t="str">
        <f>IFERROR(INDEX($AA$1:$AA$125,MATCH(14,$AC$1:$AC$125,0)),"")</f>
        <v>Melvin Drost</v>
      </c>
      <c r="B9" s="33"/>
      <c r="C9" s="15">
        <f>IF($A9="",0,COUNTIF('Sprint W1'!$B$4:$B$8,$A9)*5+COUNTIF('Sprint W1'!$C$4:$C$8,$A9)*4+COUNTIF('Sprint W1'!$D$4:$D$8,$A9)*3+COUNTIF('Sprint W1'!$E$4:$E$8,$A9)*2+COUNTIF('Sprint W1'!$F$4:$F$8,$A9)*1)</f>
        <v>0</v>
      </c>
      <c r="D9" s="15">
        <f>IF($A9="",0,COUNTIF('Sprint W2'!$B$4:$B$8,$A9)*5+COUNTIF('Sprint W2'!$C$4:$C$8,$A9)*4+COUNTIF('Sprint W2'!$D$4:$D$8,$A9)*3+COUNTIF('Sprint W2'!$E$4:$E$8,$A9)*2+COUNTIF('Sprint W2'!$F$4:$F$8,$A9)*1)</f>
        <v>0</v>
      </c>
      <c r="E9" s="15">
        <f>IF($A9="",0,COUNTIF('Sprint W3'!$B$4:$B$8,$A9)*5+COUNTIF('Sprint W3'!$C$4:$C$8,$A9)*4+COUNTIF('Sprint W3'!$D$4:$D$8,$A9)*3+COUNTIF('Sprint W3'!$E$4:$E$8,$A9)*2+COUNTIF('Sprint W3'!$F$4:$F$8,$A9)*1)</f>
        <v>10</v>
      </c>
      <c r="F9" s="15">
        <f>IF($A9="",0,COUNTIF('Sprint W4'!$B$4:$B$8,$A9)*5+COUNTIF('Sprint W4'!$C$4:$C$8,$A9)*4+COUNTIF('Sprint W4'!$D$4:$D$8,$A9)*3+COUNTIF('Sprint W4'!$E$4:$E$8,$A9)*2+COUNTIF('Sprint W4'!$F$4:$F$8,$A9)*1)</f>
        <v>0</v>
      </c>
      <c r="G9" s="15">
        <f>IF($A9="",0,COUNTIF('Sprint W5'!$B$4:$B$8,$A9)*5+COUNTIF('Sprint W5'!$C$4:$C$8,$A9)*4+COUNTIF('Sprint W5'!$D$4:$D$8,$A9)*3+COUNTIF('Sprint W5'!$E$4:$E$8,$A9)*2+COUNTIF('Sprint W5'!$F$4:$F$8,$A9)*1)</f>
        <v>0</v>
      </c>
      <c r="H9" s="25">
        <f t="shared" si="0"/>
        <v>10</v>
      </c>
      <c r="I9" s="26">
        <f t="shared" si="1"/>
        <v>4</v>
      </c>
      <c r="AA9">
        <f>'Sprint W1'!E5</f>
        <v>0</v>
      </c>
      <c r="AB9">
        <f>IF(AA9="",0,IF(COUNTIF($AA$1:AA9,AA9)=1,1,0))</f>
        <v>0</v>
      </c>
      <c r="AC9" t="str">
        <f>IF(AB9=1,COUNTIF($AB$1:AB9,1),"")</f>
        <v/>
      </c>
    </row>
    <row r="10" spans="1:29" x14ac:dyDescent="0.25">
      <c r="A10" s="13" t="str">
        <f>IFERROR(INDEX($AA$1:$AA$125,MATCH(8,$AC$1:$AC$125,0)),"")</f>
        <v>Daan Switters</v>
      </c>
      <c r="B10" s="33"/>
      <c r="C10" s="15">
        <f>IF($A10="",0,COUNTIF('Sprint W1'!$B$4:$B$8,$A10)*5+COUNTIF('Sprint W1'!$C$4:$C$8,$A10)*4+COUNTIF('Sprint W1'!$D$4:$D$8,$A10)*3+COUNTIF('Sprint W1'!$E$4:$E$8,$A10)*2+COUNTIF('Sprint W1'!$F$4:$F$8,$A10)*1)</f>
        <v>0</v>
      </c>
      <c r="D10" s="15">
        <f>IF($A10="",0,COUNTIF('Sprint W2'!$B$4:$B$8,$A10)*5+COUNTIF('Sprint W2'!$C$4:$C$8,$A10)*4+COUNTIF('Sprint W2'!$D$4:$D$8,$A10)*3+COUNTIF('Sprint W2'!$E$4:$E$8,$A10)*2+COUNTIF('Sprint W2'!$F$4:$F$8,$A10)*1)</f>
        <v>1</v>
      </c>
      <c r="E10" s="15">
        <f>IF($A10="",0,COUNTIF('Sprint W3'!$B$4:$B$8,$A10)*5+COUNTIF('Sprint W3'!$C$4:$C$8,$A10)*4+COUNTIF('Sprint W3'!$D$4:$D$8,$A10)*3+COUNTIF('Sprint W3'!$E$4:$E$8,$A10)*2+COUNTIF('Sprint W3'!$F$4:$F$8,$A10)*1)</f>
        <v>6</v>
      </c>
      <c r="F10" s="15">
        <f>IF($A10="",0,COUNTIF('Sprint W4'!$B$4:$B$8,$A10)*5+COUNTIF('Sprint W4'!$C$4:$C$8,$A10)*4+COUNTIF('Sprint W4'!$D$4:$D$8,$A10)*3+COUNTIF('Sprint W4'!$E$4:$E$8,$A10)*2+COUNTIF('Sprint W4'!$F$4:$F$8,$A10)*1)</f>
        <v>0</v>
      </c>
      <c r="G10" s="15">
        <f>IF($A10="",0,COUNTIF('Sprint W5'!$B$4:$B$8,$A10)*5+COUNTIF('Sprint W5'!$C$4:$C$8,$A10)*4+COUNTIF('Sprint W5'!$D$4:$D$8,$A10)*3+COUNTIF('Sprint W5'!$E$4:$E$8,$A10)*2+COUNTIF('Sprint W5'!$F$4:$F$8,$A10)*1)</f>
        <v>0</v>
      </c>
      <c r="H10" s="25">
        <f t="shared" si="0"/>
        <v>7</v>
      </c>
      <c r="I10" s="26">
        <f t="shared" si="1"/>
        <v>7</v>
      </c>
      <c r="AA10">
        <f>'Sprint W1'!F5</f>
        <v>0</v>
      </c>
      <c r="AB10">
        <f>IF(AA10="",0,IF(COUNTIF($AA$1:AA10,AA10)=1,1,0))</f>
        <v>0</v>
      </c>
      <c r="AC10" t="str">
        <f>IF(AB10=1,COUNTIF($AB$1:AB10,1),"")</f>
        <v/>
      </c>
    </row>
    <row r="11" spans="1:29" x14ac:dyDescent="0.25">
      <c r="A11" s="13" t="str">
        <f>IFERROR(INDEX($AA$1:$AA$125,MATCH(7,$AC$1:$AC$125,0)),"")</f>
        <v>Martijn Veling</v>
      </c>
      <c r="B11" s="33"/>
      <c r="C11" s="15">
        <f>IF($A11="",0,COUNTIF('Sprint W1'!$B$4:$B$8,$A11)*5+COUNTIF('Sprint W1'!$C$4:$C$8,$A11)*4+COUNTIF('Sprint W1'!$D$4:$D$8,$A11)*3+COUNTIF('Sprint W1'!$E$4:$E$8,$A11)*2+COUNTIF('Sprint W1'!$F$4:$F$8,$A11)*1)</f>
        <v>0</v>
      </c>
      <c r="D11" s="15">
        <f>IF($A11="",0,COUNTIF('Sprint W2'!$B$4:$B$8,$A11)*5+COUNTIF('Sprint W2'!$C$4:$C$8,$A11)*4+COUNTIF('Sprint W2'!$D$4:$D$8,$A11)*3+COUNTIF('Sprint W2'!$E$4:$E$8,$A11)*2+COUNTIF('Sprint W2'!$F$4:$F$8,$A11)*1)</f>
        <v>6</v>
      </c>
      <c r="E11" s="15">
        <f>IF($A11="",0,COUNTIF('Sprint W3'!$B$4:$B$8,$A11)*5+COUNTIF('Sprint W3'!$C$4:$C$8,$A11)*4+COUNTIF('Sprint W3'!$D$4:$D$8,$A11)*3+COUNTIF('Sprint W3'!$E$4:$E$8,$A11)*2+COUNTIF('Sprint W3'!$F$4:$F$8,$A11)*1)</f>
        <v>0</v>
      </c>
      <c r="F11" s="15">
        <f>IF($A11="",0,COUNTIF('Sprint W4'!$B$4:$B$8,$A11)*5+COUNTIF('Sprint W4'!$C$4:$C$8,$A11)*4+COUNTIF('Sprint W4'!$D$4:$D$8,$A11)*3+COUNTIF('Sprint W4'!$E$4:$E$8,$A11)*2+COUNTIF('Sprint W4'!$F$4:$F$8,$A11)*1)</f>
        <v>0</v>
      </c>
      <c r="G11" s="15">
        <f>IF($A11="",0,COUNTIF('Sprint W5'!$B$4:$B$8,$A11)*5+COUNTIF('Sprint W5'!$C$4:$C$8,$A11)*4+COUNTIF('Sprint W5'!$D$4:$D$8,$A11)*3+COUNTIF('Sprint W5'!$E$4:$E$8,$A11)*2+COUNTIF('Sprint W5'!$F$4:$F$8,$A11)*1)</f>
        <v>0</v>
      </c>
      <c r="H11" s="25">
        <f t="shared" si="0"/>
        <v>6</v>
      </c>
      <c r="I11" s="26">
        <f t="shared" si="1"/>
        <v>8</v>
      </c>
      <c r="AA11">
        <f>'Sprint W1'!B6</f>
        <v>0</v>
      </c>
      <c r="AB11">
        <f>IF(AA11="",0,IF(COUNTIF($AA$1:AA11,AA11)=1,1,0))</f>
        <v>0</v>
      </c>
      <c r="AC11" t="str">
        <f>IF(AB11=1,COUNTIF($AB$1:AB11,1),"")</f>
        <v/>
      </c>
    </row>
    <row r="12" spans="1:29" x14ac:dyDescent="0.25">
      <c r="A12" s="13" t="str">
        <f>IFERROR(INDEX($AA$1:$AA$125,MATCH(16,$AC$1:$AC$125,0)),"")</f>
        <v>Koen Vinke</v>
      </c>
      <c r="B12" s="33"/>
      <c r="C12" s="15">
        <f>IF($A12="",0,COUNTIF('Sprint W1'!$B$4:$B$8,$A12)*5+COUNTIF('Sprint W1'!$C$4:$C$8,$A12)*4+COUNTIF('Sprint W1'!$D$4:$D$8,$A12)*3+COUNTIF('Sprint W1'!$E$4:$E$8,$A12)*2+COUNTIF('Sprint W1'!$F$4:$F$8,$A12)*1)</f>
        <v>0</v>
      </c>
      <c r="D12" s="15">
        <f>IF($A12="",0,COUNTIF('Sprint W2'!$B$4:$B$8,$A12)*5+COUNTIF('Sprint W2'!$C$4:$C$8,$A12)*4+COUNTIF('Sprint W2'!$D$4:$D$8,$A12)*3+COUNTIF('Sprint W2'!$E$4:$E$8,$A12)*2+COUNTIF('Sprint W2'!$F$4:$F$8,$A12)*1)</f>
        <v>0</v>
      </c>
      <c r="E12" s="15">
        <f>IF($A12="",0,COUNTIF('Sprint W3'!$B$4:$B$8,$A12)*5+COUNTIF('Sprint W3'!$C$4:$C$8,$A12)*4+COUNTIF('Sprint W3'!$D$4:$D$8,$A12)*3+COUNTIF('Sprint W3'!$E$4:$E$8,$A12)*2+COUNTIF('Sprint W3'!$F$4:$F$8,$A12)*1)</f>
        <v>6</v>
      </c>
      <c r="F12" s="15">
        <f>IF($A12="",0,COUNTIF('Sprint W4'!$B$4:$B$8,$A12)*5+COUNTIF('Sprint W4'!$C$4:$C$8,$A12)*4+COUNTIF('Sprint W4'!$D$4:$D$8,$A12)*3+COUNTIF('Sprint W4'!$E$4:$E$8,$A12)*2+COUNTIF('Sprint W4'!$F$4:$F$8,$A12)*1)</f>
        <v>0</v>
      </c>
      <c r="G12" s="15">
        <f>IF($A12="",0,COUNTIF('Sprint W5'!$B$4:$B$8,$A12)*5+COUNTIF('Sprint W5'!$C$4:$C$8,$A12)*4+COUNTIF('Sprint W5'!$D$4:$D$8,$A12)*3+COUNTIF('Sprint W5'!$E$4:$E$8,$A12)*2+COUNTIF('Sprint W5'!$F$4:$F$8,$A12)*1)</f>
        <v>0</v>
      </c>
      <c r="H12" s="25">
        <f t="shared" si="0"/>
        <v>6</v>
      </c>
      <c r="I12" s="26">
        <f t="shared" si="1"/>
        <v>8</v>
      </c>
      <c r="AA12">
        <f>'Sprint W1'!C6</f>
        <v>0</v>
      </c>
      <c r="AB12">
        <f>IF(AA12="",0,IF(COUNTIF($AA$1:AA12,AA12)=1,1,0))</f>
        <v>0</v>
      </c>
      <c r="AC12" t="str">
        <f>IF(AB12=1,COUNTIF($AB$1:AB12,1),"")</f>
        <v/>
      </c>
    </row>
    <row r="13" spans="1:29" x14ac:dyDescent="0.25">
      <c r="A13" s="13" t="str">
        <f>IFERROR(INDEX($AA$1:$AA$125,MATCH(10,$AC$1:$AC$125,0)),"")</f>
        <v>Noery Weber</v>
      </c>
      <c r="B13" s="33"/>
      <c r="C13" s="15">
        <f>IF($A13="",0,COUNTIF('Sprint W1'!$B$4:$B$8,$A13)*5+COUNTIF('Sprint W1'!$C$4:$C$8,$A13)*4+COUNTIF('Sprint W1'!$D$4:$D$8,$A13)*3+COUNTIF('Sprint W1'!$E$4:$E$8,$A13)*2+COUNTIF('Sprint W1'!$F$4:$F$8,$A13)*1)</f>
        <v>0</v>
      </c>
      <c r="D13" s="15">
        <f>IF($A13="",0,COUNTIF('Sprint W2'!$B$4:$B$8,$A13)*5+COUNTIF('Sprint W2'!$C$4:$C$8,$A13)*4+COUNTIF('Sprint W2'!$D$4:$D$8,$A13)*3+COUNTIF('Sprint W2'!$E$4:$E$8,$A13)*2+COUNTIF('Sprint W2'!$F$4:$F$8,$A13)*1)</f>
        <v>3</v>
      </c>
      <c r="E13" s="15">
        <f>IF($A13="",0,COUNTIF('Sprint W3'!$B$4:$B$8,$A13)*5+COUNTIF('Sprint W3'!$C$4:$C$8,$A13)*4+COUNTIF('Sprint W3'!$D$4:$D$8,$A13)*3+COUNTIF('Sprint W3'!$E$4:$E$8,$A13)*2+COUNTIF('Sprint W3'!$F$4:$F$8,$A13)*1)</f>
        <v>0</v>
      </c>
      <c r="F13" s="15">
        <f>IF($A13="",0,COUNTIF('Sprint W4'!$B$4:$B$8,$A13)*5+COUNTIF('Sprint W4'!$C$4:$C$8,$A13)*4+COUNTIF('Sprint W4'!$D$4:$D$8,$A13)*3+COUNTIF('Sprint W4'!$E$4:$E$8,$A13)*2+COUNTIF('Sprint W4'!$F$4:$F$8,$A13)*1)</f>
        <v>0</v>
      </c>
      <c r="G13" s="15">
        <f>IF($A13="",0,COUNTIF('Sprint W5'!$B$4:$B$8,$A13)*5+COUNTIF('Sprint W5'!$C$4:$C$8,$A13)*4+COUNTIF('Sprint W5'!$D$4:$D$8,$A13)*3+COUNTIF('Sprint W5'!$E$4:$E$8,$A13)*2+COUNTIF('Sprint W5'!$F$4:$F$8,$A13)*1)</f>
        <v>0</v>
      </c>
      <c r="H13" s="25">
        <f t="shared" si="0"/>
        <v>3</v>
      </c>
      <c r="I13" s="26">
        <f t="shared" si="1"/>
        <v>10</v>
      </c>
      <c r="AA13">
        <f>'Sprint W1'!D6</f>
        <v>0</v>
      </c>
      <c r="AB13">
        <f>IF(AA13="",0,IF(COUNTIF($AA$1:AA13,AA13)=1,1,0))</f>
        <v>0</v>
      </c>
      <c r="AC13" t="str">
        <f>IF(AB13=1,COUNTIF($AB$1:AB13,1),"")</f>
        <v/>
      </c>
    </row>
    <row r="14" spans="1:29" x14ac:dyDescent="0.25">
      <c r="A14" s="13" t="str">
        <f>IFERROR(INDEX($AA$1:$AA$125,MATCH(11,$AC$1:$AC$125,0)),"")</f>
        <v>Roel de Vries</v>
      </c>
      <c r="B14" s="33"/>
      <c r="C14" s="15">
        <f>IF($A14="",0,COUNTIF('Sprint W1'!$B$4:$B$8,$A14)*5+COUNTIF('Sprint W1'!$C$4:$C$8,$A14)*4+COUNTIF('Sprint W1'!$D$4:$D$8,$A14)*3+COUNTIF('Sprint W1'!$E$4:$E$8,$A14)*2+COUNTIF('Sprint W1'!$F$4:$F$8,$A14)*1)</f>
        <v>0</v>
      </c>
      <c r="D14" s="15">
        <f>IF($A14="",0,COUNTIF('Sprint W2'!$B$4:$B$8,$A14)*5+COUNTIF('Sprint W2'!$C$4:$C$8,$A14)*4+COUNTIF('Sprint W2'!$D$4:$D$8,$A14)*3+COUNTIF('Sprint W2'!$E$4:$E$8,$A14)*2+COUNTIF('Sprint W2'!$F$4:$F$8,$A14)*1)</f>
        <v>3</v>
      </c>
      <c r="E14" s="15">
        <f>IF($A14="",0,COUNTIF('Sprint W3'!$B$4:$B$8,$A14)*5+COUNTIF('Sprint W3'!$C$4:$C$8,$A14)*4+COUNTIF('Sprint W3'!$D$4:$D$8,$A14)*3+COUNTIF('Sprint W3'!$E$4:$E$8,$A14)*2+COUNTIF('Sprint W3'!$F$4:$F$8,$A14)*1)</f>
        <v>0</v>
      </c>
      <c r="F14" s="15">
        <f>IF($A14="",0,COUNTIF('Sprint W4'!$B$4:$B$8,$A14)*5+COUNTIF('Sprint W4'!$C$4:$C$8,$A14)*4+COUNTIF('Sprint W4'!$D$4:$D$8,$A14)*3+COUNTIF('Sprint W4'!$E$4:$E$8,$A14)*2+COUNTIF('Sprint W4'!$F$4:$F$8,$A14)*1)</f>
        <v>0</v>
      </c>
      <c r="G14" s="15">
        <f>IF($A14="",0,COUNTIF('Sprint W5'!$B$4:$B$8,$A14)*5+COUNTIF('Sprint W5'!$C$4:$C$8,$A14)*4+COUNTIF('Sprint W5'!$D$4:$D$8,$A14)*3+COUNTIF('Sprint W5'!$E$4:$E$8,$A14)*2+COUNTIF('Sprint W5'!$F$4:$F$8,$A14)*1)</f>
        <v>0</v>
      </c>
      <c r="H14" s="25">
        <f t="shared" si="0"/>
        <v>3</v>
      </c>
      <c r="I14" s="26">
        <f t="shared" si="1"/>
        <v>10</v>
      </c>
      <c r="AA14">
        <f>'Sprint W1'!E6</f>
        <v>0</v>
      </c>
      <c r="AB14">
        <f>IF(AA14="",0,IF(COUNTIF($AA$1:AA14,AA14)=1,1,0))</f>
        <v>0</v>
      </c>
      <c r="AC14" t="str">
        <f>IF(AB14=1,COUNTIF($AB$1:AB14,1),"")</f>
        <v/>
      </c>
    </row>
    <row r="15" spans="1:29" x14ac:dyDescent="0.25">
      <c r="A15" s="13" t="str">
        <f>IFERROR(INDEX($AA$1:$AA$125,MATCH(13,$AC$1:$AC$125,0)),"")</f>
        <v>Laurens Dijkstra</v>
      </c>
      <c r="B15" s="33"/>
      <c r="C15" s="15">
        <f>IF($A15="",0,COUNTIF('Sprint W1'!$B$4:$B$8,$A15)*5+COUNTIF('Sprint W1'!$C$4:$C$8,$A15)*4+COUNTIF('Sprint W1'!$D$4:$D$8,$A15)*3+COUNTIF('Sprint W1'!$E$4:$E$8,$A15)*2+COUNTIF('Sprint W1'!$F$4:$F$8,$A15)*1)</f>
        <v>0</v>
      </c>
      <c r="D15" s="15">
        <f>IF($A15="",0,COUNTIF('Sprint W2'!$B$4:$B$8,$A15)*5+COUNTIF('Sprint W2'!$C$4:$C$8,$A15)*4+COUNTIF('Sprint W2'!$D$4:$D$8,$A15)*3+COUNTIF('Sprint W2'!$E$4:$E$8,$A15)*2+COUNTIF('Sprint W2'!$F$4:$F$8,$A15)*1)</f>
        <v>0</v>
      </c>
      <c r="E15" s="15">
        <f>IF($A15="",0,COUNTIF('Sprint W3'!$B$4:$B$8,$A15)*5+COUNTIF('Sprint W3'!$C$4:$C$8,$A15)*4+COUNTIF('Sprint W3'!$D$4:$D$8,$A15)*3+COUNTIF('Sprint W3'!$E$4:$E$8,$A15)*2+COUNTIF('Sprint W3'!$F$4:$F$8,$A15)*1)</f>
        <v>3</v>
      </c>
      <c r="F15" s="15">
        <f>IF($A15="",0,COUNTIF('Sprint W4'!$B$4:$B$8,$A15)*5+COUNTIF('Sprint W4'!$C$4:$C$8,$A15)*4+COUNTIF('Sprint W4'!$D$4:$D$8,$A15)*3+COUNTIF('Sprint W4'!$E$4:$E$8,$A15)*2+COUNTIF('Sprint W4'!$F$4:$F$8,$A15)*1)</f>
        <v>0</v>
      </c>
      <c r="G15" s="15">
        <f>IF($A15="",0,COUNTIF('Sprint W5'!$B$4:$B$8,$A15)*5+COUNTIF('Sprint W5'!$C$4:$C$8,$A15)*4+COUNTIF('Sprint W5'!$D$4:$D$8,$A15)*3+COUNTIF('Sprint W5'!$E$4:$E$8,$A15)*2+COUNTIF('Sprint W5'!$F$4:$F$8,$A15)*1)</f>
        <v>0</v>
      </c>
      <c r="H15" s="25">
        <f t="shared" si="0"/>
        <v>3</v>
      </c>
      <c r="I15" s="26">
        <f t="shared" si="1"/>
        <v>10</v>
      </c>
      <c r="AA15">
        <f>'Sprint W1'!F6</f>
        <v>0</v>
      </c>
      <c r="AB15">
        <f>IF(AA15="",0,IF(COUNTIF($AA$1:AA15,AA15)=1,1,0))</f>
        <v>0</v>
      </c>
      <c r="AC15" t="str">
        <f>IF(AB15=1,COUNTIF($AB$1:AB15,1),"")</f>
        <v/>
      </c>
    </row>
    <row r="16" spans="1:29" x14ac:dyDescent="0.25">
      <c r="A16" s="13" t="str">
        <f>IFERROR(INDEX($AA$1:$AA$125,MATCH(15,$AC$1:$AC$125,0)),"")</f>
        <v>Ruben Ubbels</v>
      </c>
      <c r="B16" s="33"/>
      <c r="C16" s="15">
        <f>IF($A16="",0,COUNTIF('Sprint W1'!$B$4:$B$8,$A16)*5+COUNTIF('Sprint W1'!$C$4:$C$8,$A16)*4+COUNTIF('Sprint W1'!$D$4:$D$8,$A16)*3+COUNTIF('Sprint W1'!$E$4:$E$8,$A16)*2+COUNTIF('Sprint W1'!$F$4:$F$8,$A16)*1)</f>
        <v>0</v>
      </c>
      <c r="D16" s="15">
        <f>IF($A16="",0,COUNTIF('Sprint W2'!$B$4:$B$8,$A16)*5+COUNTIF('Sprint W2'!$C$4:$C$8,$A16)*4+COUNTIF('Sprint W2'!$D$4:$D$8,$A16)*3+COUNTIF('Sprint W2'!$E$4:$E$8,$A16)*2+COUNTIF('Sprint W2'!$F$4:$F$8,$A16)*1)</f>
        <v>0</v>
      </c>
      <c r="E16" s="15">
        <f>IF($A16="",0,COUNTIF('Sprint W3'!$B$4:$B$8,$A16)*5+COUNTIF('Sprint W3'!$C$4:$C$8,$A16)*4+COUNTIF('Sprint W3'!$D$4:$D$8,$A16)*3+COUNTIF('Sprint W3'!$E$4:$E$8,$A16)*2+COUNTIF('Sprint W3'!$F$4:$F$8,$A16)*1)</f>
        <v>3</v>
      </c>
      <c r="F16" s="15">
        <f>IF($A16="",0,COUNTIF('Sprint W4'!$B$4:$B$8,$A16)*5+COUNTIF('Sprint W4'!$C$4:$C$8,$A16)*4+COUNTIF('Sprint W4'!$D$4:$D$8,$A16)*3+COUNTIF('Sprint W4'!$E$4:$E$8,$A16)*2+COUNTIF('Sprint W4'!$F$4:$F$8,$A16)*1)</f>
        <v>0</v>
      </c>
      <c r="G16" s="15">
        <f>IF($A16="",0,COUNTIF('Sprint W5'!$B$4:$B$8,$A16)*5+COUNTIF('Sprint W5'!$C$4:$C$8,$A16)*4+COUNTIF('Sprint W5'!$D$4:$D$8,$A16)*3+COUNTIF('Sprint W5'!$E$4:$E$8,$A16)*2+COUNTIF('Sprint W5'!$F$4:$F$8,$A16)*1)</f>
        <v>0</v>
      </c>
      <c r="H16" s="25">
        <f t="shared" si="0"/>
        <v>3</v>
      </c>
      <c r="I16" s="26">
        <f t="shared" si="1"/>
        <v>10</v>
      </c>
      <c r="AA16">
        <f>'Sprint W1'!B7</f>
        <v>0</v>
      </c>
      <c r="AB16">
        <f>IF(AA16="",0,IF(COUNTIF($AA$1:AA16,AA16)=1,1,0))</f>
        <v>0</v>
      </c>
      <c r="AC16" t="str">
        <f>IF(AB16=1,COUNTIF($AB$1:AB16,1),"")</f>
        <v/>
      </c>
    </row>
    <row r="17" spans="1:29" x14ac:dyDescent="0.25">
      <c r="A17" s="13" t="str">
        <f>IFERROR(INDEX($AA$1:$AA$125,MATCH(5,$AC$1:$AC$125,0)),"")</f>
        <v>Mitchell Huenders</v>
      </c>
      <c r="B17" s="33"/>
      <c r="C17" s="15">
        <f>IF($A17="",0,COUNTIF('Sprint W1'!$B$4:$B$8,$A17)*5+COUNTIF('Sprint W1'!$C$4:$C$8,$A17)*4+COUNTIF('Sprint W1'!$D$4:$D$8,$A17)*3+COUNTIF('Sprint W1'!$E$4:$E$8,$A17)*2+COUNTIF('Sprint W1'!$F$4:$F$8,$A17)*1)</f>
        <v>0</v>
      </c>
      <c r="D17" s="15">
        <f>IF($A17="",0,COUNTIF('Sprint W2'!$B$4:$B$8,$A17)*5+COUNTIF('Sprint W2'!$C$4:$C$8,$A17)*4+COUNTIF('Sprint W2'!$D$4:$D$8,$A17)*3+COUNTIF('Sprint W2'!$E$4:$E$8,$A17)*2+COUNTIF('Sprint W2'!$F$4:$F$8,$A17)*1)</f>
        <v>2</v>
      </c>
      <c r="E17" s="15">
        <f>IF($A17="",0,COUNTIF('Sprint W3'!$B$4:$B$8,$A17)*5+COUNTIF('Sprint W3'!$C$4:$C$8,$A17)*4+COUNTIF('Sprint W3'!$D$4:$D$8,$A17)*3+COUNTIF('Sprint W3'!$E$4:$E$8,$A17)*2+COUNTIF('Sprint W3'!$F$4:$F$8,$A17)*1)</f>
        <v>0</v>
      </c>
      <c r="F17" s="15">
        <f>IF($A17="",0,COUNTIF('Sprint W4'!$B$4:$B$8,$A17)*5+COUNTIF('Sprint W4'!$C$4:$C$8,$A17)*4+COUNTIF('Sprint W4'!$D$4:$D$8,$A17)*3+COUNTIF('Sprint W4'!$E$4:$E$8,$A17)*2+COUNTIF('Sprint W4'!$F$4:$F$8,$A17)*1)</f>
        <v>0</v>
      </c>
      <c r="G17" s="15">
        <f>IF($A17="",0,COUNTIF('Sprint W5'!$B$4:$B$8,$A17)*5+COUNTIF('Sprint W5'!$C$4:$C$8,$A17)*4+COUNTIF('Sprint W5'!$D$4:$D$8,$A17)*3+COUNTIF('Sprint W5'!$E$4:$E$8,$A17)*2+COUNTIF('Sprint W5'!$F$4:$F$8,$A17)*1)</f>
        <v>0</v>
      </c>
      <c r="H17" s="25">
        <f t="shared" si="0"/>
        <v>2</v>
      </c>
      <c r="I17" s="26">
        <f t="shared" si="1"/>
        <v>14</v>
      </c>
      <c r="AA17">
        <f>'Sprint W1'!C7</f>
        <v>0</v>
      </c>
      <c r="AB17">
        <f>IF(AA17="",0,IF(COUNTIF($AA$1:AA17,AA17)=1,1,0))</f>
        <v>0</v>
      </c>
      <c r="AC17" t="str">
        <f>IF(AB17=1,COUNTIF($AB$1:AB17,1),"")</f>
        <v/>
      </c>
    </row>
    <row r="18" spans="1:29" x14ac:dyDescent="0.25">
      <c r="A18" s="13" t="str">
        <f>IFERROR(INDEX($AA$1:$AA$125,MATCH(17,$AC$1:$AC$125,0)),"")</f>
        <v>Robert de Jong</v>
      </c>
      <c r="B18" s="33"/>
      <c r="C18" s="15">
        <f>IF($A18="",0,COUNTIF('Sprint W1'!$B$4:$B$8,$A18)*5+COUNTIF('Sprint W1'!$C$4:$C$8,$A18)*4+COUNTIF('Sprint W1'!$D$4:$D$8,$A18)*3+COUNTIF('Sprint W1'!$E$4:$E$8,$A18)*2+COUNTIF('Sprint W1'!$F$4:$F$8,$A18)*1)</f>
        <v>0</v>
      </c>
      <c r="D18" s="15">
        <f>IF($A18="",0,COUNTIF('Sprint W2'!$B$4:$B$8,$A18)*5+COUNTIF('Sprint W2'!$C$4:$C$8,$A18)*4+COUNTIF('Sprint W2'!$D$4:$D$8,$A18)*3+COUNTIF('Sprint W2'!$E$4:$E$8,$A18)*2+COUNTIF('Sprint W2'!$F$4:$F$8,$A18)*1)</f>
        <v>0</v>
      </c>
      <c r="E18" s="15">
        <f>IF($A18="",0,COUNTIF('Sprint W3'!$B$4:$B$8,$A18)*5+COUNTIF('Sprint W3'!$C$4:$C$8,$A18)*4+COUNTIF('Sprint W3'!$D$4:$D$8,$A18)*3+COUNTIF('Sprint W3'!$E$4:$E$8,$A18)*2+COUNTIF('Sprint W3'!$F$4:$F$8,$A18)*1)</f>
        <v>2</v>
      </c>
      <c r="F18" s="15">
        <f>IF($A18="",0,COUNTIF('Sprint W4'!$B$4:$B$8,$A18)*5+COUNTIF('Sprint W4'!$C$4:$C$8,$A18)*4+COUNTIF('Sprint W4'!$D$4:$D$8,$A18)*3+COUNTIF('Sprint W4'!$E$4:$E$8,$A18)*2+COUNTIF('Sprint W4'!$F$4:$F$8,$A18)*1)</f>
        <v>0</v>
      </c>
      <c r="G18" s="15">
        <f>IF($A18="",0,COUNTIF('Sprint W5'!$B$4:$B$8,$A18)*5+COUNTIF('Sprint W5'!$C$4:$C$8,$A18)*4+COUNTIF('Sprint W5'!$D$4:$D$8,$A18)*3+COUNTIF('Sprint W5'!$E$4:$E$8,$A18)*2+COUNTIF('Sprint W5'!$F$4:$F$8,$A18)*1)</f>
        <v>0</v>
      </c>
      <c r="H18" s="25">
        <f t="shared" si="0"/>
        <v>2</v>
      </c>
      <c r="I18" s="26">
        <f t="shared" si="1"/>
        <v>14</v>
      </c>
      <c r="AA18">
        <f>'Sprint W1'!D7</f>
        <v>0</v>
      </c>
      <c r="AB18">
        <f>IF(AA18="",0,IF(COUNTIF($AA$1:AA18,AA18)=1,1,0))</f>
        <v>0</v>
      </c>
      <c r="AC18" t="str">
        <f>IF(AB18=1,COUNTIF($AB$1:AB18,1),"")</f>
        <v/>
      </c>
    </row>
    <row r="19" spans="1:29" x14ac:dyDescent="0.25">
      <c r="A19" s="13" t="str">
        <f>IFERROR(INDEX($AA$1:$AA$125,MATCH(6,$AC$1:$AC$125,0)),"")</f>
        <v>Erwin van Leijen</v>
      </c>
      <c r="B19" s="33"/>
      <c r="C19" s="15">
        <f>IF($A19="",0,COUNTIF('Sprint W1'!$B$4:$B$8,$A19)*5+COUNTIF('Sprint W1'!$C$4:$C$8,$A19)*4+COUNTIF('Sprint W1'!$D$4:$D$8,$A19)*3+COUNTIF('Sprint W1'!$E$4:$E$8,$A19)*2+COUNTIF('Sprint W1'!$F$4:$F$8,$A19)*1)</f>
        <v>0</v>
      </c>
      <c r="D19" s="15">
        <f>IF($A19="",0,COUNTIF('Sprint W2'!$B$4:$B$8,$A19)*5+COUNTIF('Sprint W2'!$C$4:$C$8,$A19)*4+COUNTIF('Sprint W2'!$D$4:$D$8,$A19)*3+COUNTIF('Sprint W2'!$E$4:$E$8,$A19)*2+COUNTIF('Sprint W2'!$F$4:$F$8,$A19)*1)</f>
        <v>1</v>
      </c>
      <c r="E19" s="15">
        <f>IF($A19="",0,COUNTIF('Sprint W3'!$B$4:$B$8,$A19)*5+COUNTIF('Sprint W3'!$C$4:$C$8,$A19)*4+COUNTIF('Sprint W3'!$D$4:$D$8,$A19)*3+COUNTIF('Sprint W3'!$E$4:$E$8,$A19)*2+COUNTIF('Sprint W3'!$F$4:$F$8,$A19)*1)</f>
        <v>0</v>
      </c>
      <c r="F19" s="15">
        <f>IF($A19="",0,COUNTIF('Sprint W4'!$B$4:$B$8,$A19)*5+COUNTIF('Sprint W4'!$C$4:$C$8,$A19)*4+COUNTIF('Sprint W4'!$D$4:$D$8,$A19)*3+COUNTIF('Sprint W4'!$E$4:$E$8,$A19)*2+COUNTIF('Sprint W4'!$F$4:$F$8,$A19)*1)</f>
        <v>0</v>
      </c>
      <c r="G19" s="15">
        <f>IF($A19="",0,COUNTIF('Sprint W5'!$B$4:$B$8,$A19)*5+COUNTIF('Sprint W5'!$C$4:$C$8,$A19)*4+COUNTIF('Sprint W5'!$D$4:$D$8,$A19)*3+COUNTIF('Sprint W5'!$E$4:$E$8,$A19)*2+COUNTIF('Sprint W5'!$F$4:$F$8,$A19)*1)</f>
        <v>0</v>
      </c>
      <c r="H19" s="25">
        <f t="shared" si="0"/>
        <v>1</v>
      </c>
      <c r="I19" s="26">
        <f t="shared" si="1"/>
        <v>16</v>
      </c>
      <c r="AA19">
        <f>'Sprint W1'!E7</f>
        <v>0</v>
      </c>
      <c r="AB19">
        <f>IF(AA19="",0,IF(COUNTIF($AA$1:AA19,AA19)=1,1,0))</f>
        <v>0</v>
      </c>
      <c r="AC19" t="str">
        <f>IF(AB19=1,COUNTIF($AB$1:AB19,1),"")</f>
        <v/>
      </c>
    </row>
    <row r="20" spans="1:29" x14ac:dyDescent="0.25">
      <c r="A20" s="13" t="str">
        <f>IFERROR(INDEX($AA$1:$AA$125,MATCH(18,$AC$1:$AC$125,0)),"")</f>
        <v>Henriko van Veldhuizen</v>
      </c>
      <c r="B20" s="33"/>
      <c r="C20" s="15">
        <f>IF($A20="",0,COUNTIF('Sprint W1'!$B$4:$B$8,$A20)*5+COUNTIF('Sprint W1'!$C$4:$C$8,$A20)*4+COUNTIF('Sprint W1'!$D$4:$D$8,$A20)*3+COUNTIF('Sprint W1'!$E$4:$E$8,$A20)*2+COUNTIF('Sprint W1'!$F$4:$F$8,$A20)*1)</f>
        <v>0</v>
      </c>
      <c r="D20" s="15">
        <f>IF($A20="",0,COUNTIF('Sprint W2'!$B$4:$B$8,$A20)*5+COUNTIF('Sprint W2'!$C$4:$C$8,$A20)*4+COUNTIF('Sprint W2'!$D$4:$D$8,$A20)*3+COUNTIF('Sprint W2'!$E$4:$E$8,$A20)*2+COUNTIF('Sprint W2'!$F$4:$F$8,$A20)*1)</f>
        <v>0</v>
      </c>
      <c r="E20" s="15">
        <f>IF($A20="",0,COUNTIF('Sprint W3'!$B$4:$B$8,$A20)*5+COUNTIF('Sprint W3'!$C$4:$C$8,$A20)*4+COUNTIF('Sprint W3'!$D$4:$D$8,$A20)*3+COUNTIF('Sprint W3'!$E$4:$E$8,$A20)*2+COUNTIF('Sprint W3'!$F$4:$F$8,$A20)*1)</f>
        <v>1</v>
      </c>
      <c r="F20" s="15">
        <f>IF($A20="",0,COUNTIF('Sprint W4'!$B$4:$B$8,$A20)*5+COUNTIF('Sprint W4'!$C$4:$C$8,$A20)*4+COUNTIF('Sprint W4'!$D$4:$D$8,$A20)*3+COUNTIF('Sprint W4'!$E$4:$E$8,$A20)*2+COUNTIF('Sprint W4'!$F$4:$F$8,$A20)*1)</f>
        <v>0</v>
      </c>
      <c r="G20" s="15">
        <f>IF($A20="",0,COUNTIF('Sprint W5'!$B$4:$B$8,$A20)*5+COUNTIF('Sprint W5'!$C$4:$C$8,$A20)*4+COUNTIF('Sprint W5'!$D$4:$D$8,$A20)*3+COUNTIF('Sprint W5'!$E$4:$E$8,$A20)*2+COUNTIF('Sprint W5'!$F$4:$F$8,$A20)*1)</f>
        <v>0</v>
      </c>
      <c r="H20" s="25">
        <f t="shared" si="0"/>
        <v>1</v>
      </c>
      <c r="I20" s="26">
        <f t="shared" si="1"/>
        <v>16</v>
      </c>
      <c r="AA20">
        <f>'Sprint W1'!F7</f>
        <v>0</v>
      </c>
      <c r="AB20">
        <f>IF(AA20="",0,IF(COUNTIF($AA$1:AA20,AA20)=1,1,0))</f>
        <v>0</v>
      </c>
      <c r="AC20" t="str">
        <f>IF(AB20=1,COUNTIF($AB$1:AB20,1),"")</f>
        <v/>
      </c>
    </row>
    <row r="21" spans="1:29" x14ac:dyDescent="0.25">
      <c r="A21" s="13">
        <f>IFERROR(INDEX($AA$1:$AA$125,MATCH(1,$AC$1:$AC$125,0)),"")</f>
        <v>0</v>
      </c>
      <c r="B21" s="33"/>
      <c r="C21" s="15">
        <f>IF($A21="",0,COUNTIF('Sprint W1'!$B$4:$B$8,$A21)*5+COUNTIF('Sprint W1'!$C$4:$C$8,$A21)*4+COUNTIF('Sprint W1'!$D$4:$D$8,$A21)*3+COUNTIF('Sprint W1'!$E$4:$E$8,$A21)*2+COUNTIF('Sprint W1'!$F$4:$F$8,$A21)*1)</f>
        <v>0</v>
      </c>
      <c r="D21" s="15">
        <f>IF($A21="",0,COUNTIF('Sprint W2'!$B$4:$B$8,$A21)*5+COUNTIF('Sprint W2'!$C$4:$C$8,$A21)*4+COUNTIF('Sprint W2'!$D$4:$D$8,$A21)*3+COUNTIF('Sprint W2'!$E$4:$E$8,$A21)*2+COUNTIF('Sprint W2'!$F$4:$F$8,$A21)*1)</f>
        <v>0</v>
      </c>
      <c r="E21" s="15">
        <f>IF($A21="",0,COUNTIF('Sprint W3'!$B$4:$B$8,$A21)*5+COUNTIF('Sprint W3'!$C$4:$C$8,$A21)*4+COUNTIF('Sprint W3'!$D$4:$D$8,$A21)*3+COUNTIF('Sprint W3'!$E$4:$E$8,$A21)*2+COUNTIF('Sprint W3'!$F$4:$F$8,$A21)*1)</f>
        <v>0</v>
      </c>
      <c r="F21" s="15">
        <f>IF($A21="",0,COUNTIF('Sprint W4'!$B$4:$B$8,$A21)*5+COUNTIF('Sprint W4'!$C$4:$C$8,$A21)*4+COUNTIF('Sprint W4'!$D$4:$D$8,$A21)*3+COUNTIF('Sprint W4'!$E$4:$E$8,$A21)*2+COUNTIF('Sprint W4'!$F$4:$F$8,$A21)*1)</f>
        <v>0</v>
      </c>
      <c r="G21" s="15">
        <f>IF($A21="",0,COUNTIF('Sprint W5'!$B$4:$B$8,$A21)*5+COUNTIF('Sprint W5'!$C$4:$C$8,$A21)*4+COUNTIF('Sprint W5'!$D$4:$D$8,$A21)*3+COUNTIF('Sprint W5'!$E$4:$E$8,$A21)*2+COUNTIF('Sprint W5'!$F$4:$F$8,$A21)*1)</f>
        <v>0</v>
      </c>
      <c r="H21" s="25">
        <f t="shared" si="0"/>
        <v>0</v>
      </c>
      <c r="I21" s="26" t="str">
        <f t="shared" si="1"/>
        <v/>
      </c>
      <c r="AA21">
        <f>'Sprint W1'!B8</f>
        <v>0</v>
      </c>
      <c r="AB21">
        <f>IF(AA21="",0,IF(COUNTIF($AA$1:AA21,AA21)=1,1,0))</f>
        <v>0</v>
      </c>
      <c r="AC21" t="str">
        <f>IF(AB21=1,COUNTIF($AB$1:AB21,1),"")</f>
        <v/>
      </c>
    </row>
    <row r="22" spans="1:29" x14ac:dyDescent="0.25">
      <c r="A22" s="13" t="str">
        <f>IFERROR(INDEX($AA$1:$AA$125,MATCH(19,$AC$1:$AC$125,0)),"")</f>
        <v/>
      </c>
      <c r="B22" s="33"/>
      <c r="C22" s="15">
        <f>IF($A22="",0,COUNTIF('Sprint W1'!$B$4:$B$8,$A22)*5+COUNTIF('Sprint W1'!$C$4:$C$8,$A22)*4+COUNTIF('Sprint W1'!$D$4:$D$8,$A22)*3+COUNTIF('Sprint W1'!$E$4:$E$8,$A22)*2+COUNTIF('Sprint W1'!$F$4:$F$8,$A22)*1)</f>
        <v>0</v>
      </c>
      <c r="D22" s="15">
        <f>IF($A22="",0,COUNTIF('Sprint W2'!$B$4:$B$8,$A22)*5+COUNTIF('Sprint W2'!$C$4:$C$8,$A22)*4+COUNTIF('Sprint W2'!$D$4:$D$8,$A22)*3+COUNTIF('Sprint W2'!$E$4:$E$8,$A22)*2+COUNTIF('Sprint W2'!$F$4:$F$8,$A22)*1)</f>
        <v>0</v>
      </c>
      <c r="E22" s="15">
        <f>IF($A22="",0,COUNTIF('Sprint W3'!$B$4:$B$8,$A22)*5+COUNTIF('Sprint W3'!$C$4:$C$8,$A22)*4+COUNTIF('Sprint W3'!$D$4:$D$8,$A22)*3+COUNTIF('Sprint W3'!$E$4:$E$8,$A22)*2+COUNTIF('Sprint W3'!$F$4:$F$8,$A22)*1)</f>
        <v>0</v>
      </c>
      <c r="F22" s="15">
        <f>IF($A22="",0,COUNTIF('Sprint W4'!$B$4:$B$8,$A22)*5+COUNTIF('Sprint W4'!$C$4:$C$8,$A22)*4+COUNTIF('Sprint W4'!$D$4:$D$8,$A22)*3+COUNTIF('Sprint W4'!$E$4:$E$8,$A22)*2+COUNTIF('Sprint W4'!$F$4:$F$8,$A22)*1)</f>
        <v>0</v>
      </c>
      <c r="G22" s="15">
        <f>IF($A22="",0,COUNTIF('Sprint W5'!$B$4:$B$8,$A22)*5+COUNTIF('Sprint W5'!$C$4:$C$8,$A22)*4+COUNTIF('Sprint W5'!$D$4:$D$8,$A22)*3+COUNTIF('Sprint W5'!$E$4:$E$8,$A22)*2+COUNTIF('Sprint W5'!$F$4:$F$8,$A22)*1)</f>
        <v>0</v>
      </c>
      <c r="H22" s="25" t="str">
        <f t="shared" si="0"/>
        <v/>
      </c>
      <c r="I22" s="26" t="str">
        <f t="shared" si="1"/>
        <v/>
      </c>
      <c r="AA22">
        <f>'Sprint W1'!C8</f>
        <v>0</v>
      </c>
      <c r="AB22">
        <f>IF(AA22="",0,IF(COUNTIF($AA$1:AA22,AA22)=1,1,0))</f>
        <v>0</v>
      </c>
      <c r="AC22" t="str">
        <f>IF(AB22=1,COUNTIF($AB$1:AB22,1),"")</f>
        <v/>
      </c>
    </row>
    <row r="23" spans="1:29" x14ac:dyDescent="0.25">
      <c r="A23" s="13" t="str">
        <f>IFERROR(INDEX($AA$1:$AA$125,MATCH(20,$AC$1:$AC$125,0)),"")</f>
        <v/>
      </c>
      <c r="B23" s="33"/>
      <c r="C23" s="15">
        <f>IF($A23="",0,COUNTIF('Sprint W1'!$B$4:$B$8,$A23)*5+COUNTIF('Sprint W1'!$C$4:$C$8,$A23)*4+COUNTIF('Sprint W1'!$D$4:$D$8,$A23)*3+COUNTIF('Sprint W1'!$E$4:$E$8,$A23)*2+COUNTIF('Sprint W1'!$F$4:$F$8,$A23)*1)</f>
        <v>0</v>
      </c>
      <c r="D23" s="15">
        <f>IF($A23="",0,COUNTIF('Sprint W2'!$B$4:$B$8,$A23)*5+COUNTIF('Sprint W2'!$C$4:$C$8,$A23)*4+COUNTIF('Sprint W2'!$D$4:$D$8,$A23)*3+COUNTIF('Sprint W2'!$E$4:$E$8,$A23)*2+COUNTIF('Sprint W2'!$F$4:$F$8,$A23)*1)</f>
        <v>0</v>
      </c>
      <c r="E23" s="15">
        <f>IF($A23="",0,COUNTIF('Sprint W3'!$B$4:$B$8,$A23)*5+COUNTIF('Sprint W3'!$C$4:$C$8,$A23)*4+COUNTIF('Sprint W3'!$D$4:$D$8,$A23)*3+COUNTIF('Sprint W3'!$E$4:$E$8,$A23)*2+COUNTIF('Sprint W3'!$F$4:$F$8,$A23)*1)</f>
        <v>0</v>
      </c>
      <c r="F23" s="15">
        <f>IF($A23="",0,COUNTIF('Sprint W4'!$B$4:$B$8,$A23)*5+COUNTIF('Sprint W4'!$C$4:$C$8,$A23)*4+COUNTIF('Sprint W4'!$D$4:$D$8,$A23)*3+COUNTIF('Sprint W4'!$E$4:$E$8,$A23)*2+COUNTIF('Sprint W4'!$F$4:$F$8,$A23)*1)</f>
        <v>0</v>
      </c>
      <c r="G23" s="15">
        <f>IF($A23="",0,COUNTIF('Sprint W5'!$B$4:$B$8,$A23)*5+COUNTIF('Sprint W5'!$C$4:$C$8,$A23)*4+COUNTIF('Sprint W5'!$D$4:$D$8,$A23)*3+COUNTIF('Sprint W5'!$E$4:$E$8,$A23)*2+COUNTIF('Sprint W5'!$F$4:$F$8,$A23)*1)</f>
        <v>0</v>
      </c>
      <c r="H23" s="25" t="str">
        <f t="shared" si="0"/>
        <v/>
      </c>
      <c r="I23" s="26" t="str">
        <f t="shared" si="1"/>
        <v/>
      </c>
      <c r="AA23">
        <f>'Sprint W1'!D8</f>
        <v>0</v>
      </c>
      <c r="AB23">
        <f>IF(AA23="",0,IF(COUNTIF($AA$1:AA23,AA23)=1,1,0))</f>
        <v>0</v>
      </c>
      <c r="AC23" t="str">
        <f>IF(AB23=1,COUNTIF($AB$1:AB23,1),"")</f>
        <v/>
      </c>
    </row>
    <row r="24" spans="1:29" x14ac:dyDescent="0.25">
      <c r="A24" s="13" t="str">
        <f>IFERROR(INDEX($AA$1:$AA$125,MATCH(21,$AC$1:$AC$125,0)),"")</f>
        <v/>
      </c>
      <c r="B24" s="33"/>
      <c r="C24" s="15">
        <f>IF($A24="",0,COUNTIF('Sprint W1'!$B$4:$B$8,$A24)*5+COUNTIF('Sprint W1'!$C$4:$C$8,$A24)*4+COUNTIF('Sprint W1'!$D$4:$D$8,$A24)*3+COUNTIF('Sprint W1'!$E$4:$E$8,$A24)*2+COUNTIF('Sprint W1'!$F$4:$F$8,$A24)*1)</f>
        <v>0</v>
      </c>
      <c r="D24" s="15">
        <f>IF($A24="",0,COUNTIF('Sprint W2'!$B$4:$B$8,$A24)*5+COUNTIF('Sprint W2'!$C$4:$C$8,$A24)*4+COUNTIF('Sprint W2'!$D$4:$D$8,$A24)*3+COUNTIF('Sprint W2'!$E$4:$E$8,$A24)*2+COUNTIF('Sprint W2'!$F$4:$F$8,$A24)*1)</f>
        <v>0</v>
      </c>
      <c r="E24" s="15">
        <f>IF($A24="",0,COUNTIF('Sprint W3'!$B$4:$B$8,$A24)*5+COUNTIF('Sprint W3'!$C$4:$C$8,$A24)*4+COUNTIF('Sprint W3'!$D$4:$D$8,$A24)*3+COUNTIF('Sprint W3'!$E$4:$E$8,$A24)*2+COUNTIF('Sprint W3'!$F$4:$F$8,$A24)*1)</f>
        <v>0</v>
      </c>
      <c r="F24" s="15">
        <f>IF($A24="",0,COUNTIF('Sprint W4'!$B$4:$B$8,$A24)*5+COUNTIF('Sprint W4'!$C$4:$C$8,$A24)*4+COUNTIF('Sprint W4'!$D$4:$D$8,$A24)*3+COUNTIF('Sprint W4'!$E$4:$E$8,$A24)*2+COUNTIF('Sprint W4'!$F$4:$F$8,$A24)*1)</f>
        <v>0</v>
      </c>
      <c r="G24" s="15">
        <f>IF($A24="",0,COUNTIF('Sprint W5'!$B$4:$B$8,$A24)*5+COUNTIF('Sprint W5'!$C$4:$C$8,$A24)*4+COUNTIF('Sprint W5'!$D$4:$D$8,$A24)*3+COUNTIF('Sprint W5'!$E$4:$E$8,$A24)*2+COUNTIF('Sprint W5'!$F$4:$F$8,$A24)*1)</f>
        <v>0</v>
      </c>
      <c r="H24" s="25" t="str">
        <f t="shared" si="0"/>
        <v/>
      </c>
      <c r="I24" s="26" t="str">
        <f t="shared" si="1"/>
        <v/>
      </c>
      <c r="AA24">
        <f>'Sprint W1'!E8</f>
        <v>0</v>
      </c>
      <c r="AB24">
        <f>IF(AA24="",0,IF(COUNTIF($AA$1:AA24,AA24)=1,1,0))</f>
        <v>0</v>
      </c>
      <c r="AC24" t="str">
        <f>IF(AB24=1,COUNTIF($AB$1:AB24,1),"")</f>
        <v/>
      </c>
    </row>
    <row r="25" spans="1:29" x14ac:dyDescent="0.25">
      <c r="A25" s="13" t="str">
        <f>IFERROR(INDEX($AA$1:$AA$125,MATCH(22,$AC$1:$AC$125,0)),"")</f>
        <v/>
      </c>
      <c r="B25" s="33"/>
      <c r="C25" s="15">
        <f>IF($A25="",0,COUNTIF('Sprint W1'!$B$4:$B$8,$A25)*5+COUNTIF('Sprint W1'!$C$4:$C$8,$A25)*4+COUNTIF('Sprint W1'!$D$4:$D$8,$A25)*3+COUNTIF('Sprint W1'!$E$4:$E$8,$A25)*2+COUNTIF('Sprint W1'!$F$4:$F$8,$A25)*1)</f>
        <v>0</v>
      </c>
      <c r="D25" s="15">
        <f>IF($A25="",0,COUNTIF('Sprint W2'!$B$4:$B$8,$A25)*5+COUNTIF('Sprint W2'!$C$4:$C$8,$A25)*4+COUNTIF('Sprint W2'!$D$4:$D$8,$A25)*3+COUNTIF('Sprint W2'!$E$4:$E$8,$A25)*2+COUNTIF('Sprint W2'!$F$4:$F$8,$A25)*1)</f>
        <v>0</v>
      </c>
      <c r="E25" s="15">
        <f>IF($A25="",0,COUNTIF('Sprint W3'!$B$4:$B$8,$A25)*5+COUNTIF('Sprint W3'!$C$4:$C$8,$A25)*4+COUNTIF('Sprint W3'!$D$4:$D$8,$A25)*3+COUNTIF('Sprint W3'!$E$4:$E$8,$A25)*2+COUNTIF('Sprint W3'!$F$4:$F$8,$A25)*1)</f>
        <v>0</v>
      </c>
      <c r="F25" s="15">
        <f>IF($A25="",0,COUNTIF('Sprint W4'!$B$4:$B$8,$A25)*5+COUNTIF('Sprint W4'!$C$4:$C$8,$A25)*4+COUNTIF('Sprint W4'!$D$4:$D$8,$A25)*3+COUNTIF('Sprint W4'!$E$4:$E$8,$A25)*2+COUNTIF('Sprint W4'!$F$4:$F$8,$A25)*1)</f>
        <v>0</v>
      </c>
      <c r="G25" s="15">
        <f>IF($A25="",0,COUNTIF('Sprint W5'!$B$4:$B$8,$A25)*5+COUNTIF('Sprint W5'!$C$4:$C$8,$A25)*4+COUNTIF('Sprint W5'!$D$4:$D$8,$A25)*3+COUNTIF('Sprint W5'!$E$4:$E$8,$A25)*2+COUNTIF('Sprint W5'!$F$4:$F$8,$A25)*1)</f>
        <v>0</v>
      </c>
      <c r="H25" s="25" t="str">
        <f t="shared" si="0"/>
        <v/>
      </c>
      <c r="I25" s="26" t="str">
        <f t="shared" si="1"/>
        <v/>
      </c>
      <c r="AA25">
        <f>'Sprint W1'!F8</f>
        <v>0</v>
      </c>
      <c r="AB25">
        <f>IF(AA25="",0,IF(COUNTIF($AA$1:AA25,AA25)=1,1,0))</f>
        <v>0</v>
      </c>
      <c r="AC25" t="str">
        <f>IF(AB25=1,COUNTIF($AB$1:AB25,1),"")</f>
        <v/>
      </c>
    </row>
    <row r="26" spans="1:29" x14ac:dyDescent="0.25">
      <c r="A26" s="13" t="str">
        <f>IFERROR(INDEX($AA$1:$AA$125,MATCH(23,$AC$1:$AC$125,0)),"")</f>
        <v/>
      </c>
      <c r="B26" s="33"/>
      <c r="C26" s="15">
        <f>IF($A26="",0,COUNTIF('Sprint W1'!$B$4:$B$8,$A26)*5+COUNTIF('Sprint W1'!$C$4:$C$8,$A26)*4+COUNTIF('Sprint W1'!$D$4:$D$8,$A26)*3+COUNTIF('Sprint W1'!$E$4:$E$8,$A26)*2+COUNTIF('Sprint W1'!$F$4:$F$8,$A26)*1)</f>
        <v>0</v>
      </c>
      <c r="D26" s="15">
        <f>IF($A26="",0,COUNTIF('Sprint W2'!$B$4:$B$8,$A26)*5+COUNTIF('Sprint W2'!$C$4:$C$8,$A26)*4+COUNTIF('Sprint W2'!$D$4:$D$8,$A26)*3+COUNTIF('Sprint W2'!$E$4:$E$8,$A26)*2+COUNTIF('Sprint W2'!$F$4:$F$8,$A26)*1)</f>
        <v>0</v>
      </c>
      <c r="E26" s="15">
        <f>IF($A26="",0,COUNTIF('Sprint W3'!$B$4:$B$8,$A26)*5+COUNTIF('Sprint W3'!$C$4:$C$8,$A26)*4+COUNTIF('Sprint W3'!$D$4:$D$8,$A26)*3+COUNTIF('Sprint W3'!$E$4:$E$8,$A26)*2+COUNTIF('Sprint W3'!$F$4:$F$8,$A26)*1)</f>
        <v>0</v>
      </c>
      <c r="F26" s="15">
        <f>IF($A26="",0,COUNTIF('Sprint W4'!$B$4:$B$8,$A26)*5+COUNTIF('Sprint W4'!$C$4:$C$8,$A26)*4+COUNTIF('Sprint W4'!$D$4:$D$8,$A26)*3+COUNTIF('Sprint W4'!$E$4:$E$8,$A26)*2+COUNTIF('Sprint W4'!$F$4:$F$8,$A26)*1)</f>
        <v>0</v>
      </c>
      <c r="G26" s="15">
        <f>IF($A26="",0,COUNTIF('Sprint W5'!$B$4:$B$8,$A26)*5+COUNTIF('Sprint W5'!$C$4:$C$8,$A26)*4+COUNTIF('Sprint W5'!$D$4:$D$8,$A26)*3+COUNTIF('Sprint W5'!$E$4:$E$8,$A26)*2+COUNTIF('Sprint W5'!$F$4:$F$8,$A26)*1)</f>
        <v>0</v>
      </c>
      <c r="H26" s="25" t="str">
        <f t="shared" si="0"/>
        <v/>
      </c>
      <c r="I26" s="26" t="str">
        <f t="shared" si="1"/>
        <v/>
      </c>
      <c r="AA26" t="str">
        <f>'Sprint W2'!B4</f>
        <v>Niels Immerzeel</v>
      </c>
      <c r="AB26">
        <f>IF(AA26="",0,IF(COUNTIF($AA$1:AA26,AA26)=1,1,0))</f>
        <v>1</v>
      </c>
      <c r="AC26">
        <f>IF(AB26=1,COUNTIF($AB$1:AB26,1),"")</f>
        <v>2</v>
      </c>
    </row>
    <row r="27" spans="1:29" x14ac:dyDescent="0.25">
      <c r="A27" s="13" t="str">
        <f>IFERROR(INDEX($AA$1:$AA$125,MATCH(24,$AC$1:$AC$125,0)),"")</f>
        <v/>
      </c>
      <c r="B27" s="33"/>
      <c r="C27" s="15">
        <f>IF($A27="",0,COUNTIF('Sprint W1'!$B$4:$B$8,$A27)*5+COUNTIF('Sprint W1'!$C$4:$C$8,$A27)*4+COUNTIF('Sprint W1'!$D$4:$D$8,$A27)*3+COUNTIF('Sprint W1'!$E$4:$E$8,$A27)*2+COUNTIF('Sprint W1'!$F$4:$F$8,$A27)*1)</f>
        <v>0</v>
      </c>
      <c r="D27" s="15">
        <f>IF($A27="",0,COUNTIF('Sprint W2'!$B$4:$B$8,$A27)*5+COUNTIF('Sprint W2'!$C$4:$C$8,$A27)*4+COUNTIF('Sprint W2'!$D$4:$D$8,$A27)*3+COUNTIF('Sprint W2'!$E$4:$E$8,$A27)*2+COUNTIF('Sprint W2'!$F$4:$F$8,$A27)*1)</f>
        <v>0</v>
      </c>
      <c r="E27" s="15">
        <f>IF($A27="",0,COUNTIF('Sprint W3'!$B$4:$B$8,$A27)*5+COUNTIF('Sprint W3'!$C$4:$C$8,$A27)*4+COUNTIF('Sprint W3'!$D$4:$D$8,$A27)*3+COUNTIF('Sprint W3'!$E$4:$E$8,$A27)*2+COUNTIF('Sprint W3'!$F$4:$F$8,$A27)*1)</f>
        <v>0</v>
      </c>
      <c r="F27" s="15">
        <f>IF($A27="",0,COUNTIF('Sprint W4'!$B$4:$B$8,$A27)*5+COUNTIF('Sprint W4'!$C$4:$C$8,$A27)*4+COUNTIF('Sprint W4'!$D$4:$D$8,$A27)*3+COUNTIF('Sprint W4'!$E$4:$E$8,$A27)*2+COUNTIF('Sprint W4'!$F$4:$F$8,$A27)*1)</f>
        <v>0</v>
      </c>
      <c r="G27" s="15">
        <f>IF($A27="",0,COUNTIF('Sprint W5'!$B$4:$B$8,$A27)*5+COUNTIF('Sprint W5'!$C$4:$C$8,$A27)*4+COUNTIF('Sprint W5'!$D$4:$D$8,$A27)*3+COUNTIF('Sprint W5'!$E$4:$E$8,$A27)*2+COUNTIF('Sprint W5'!$F$4:$F$8,$A27)*1)</f>
        <v>0</v>
      </c>
      <c r="H27" s="25" t="str">
        <f t="shared" si="0"/>
        <v/>
      </c>
      <c r="I27" s="26" t="str">
        <f t="shared" si="1"/>
        <v/>
      </c>
      <c r="AA27" t="str">
        <f>'Sprint W2'!C4</f>
        <v>Florijn van der Vliet</v>
      </c>
      <c r="AB27">
        <f>IF(AA27="",0,IF(COUNTIF($AA$1:AA27,AA27)=1,1,0))</f>
        <v>1</v>
      </c>
      <c r="AC27">
        <f>IF(AB27=1,COUNTIF($AB$1:AB27,1),"")</f>
        <v>3</v>
      </c>
    </row>
    <row r="28" spans="1:29" x14ac:dyDescent="0.25">
      <c r="A28" s="13" t="str">
        <f>IFERROR(INDEX($AA$1:$AA$125,MATCH(25,$AC$1:$AC$125,0)),"")</f>
        <v/>
      </c>
      <c r="B28" s="33"/>
      <c r="C28" s="15">
        <f>IF($A28="",0,COUNTIF('Sprint W1'!$B$4:$B$8,$A28)*5+COUNTIF('Sprint W1'!$C$4:$C$8,$A28)*4+COUNTIF('Sprint W1'!$D$4:$D$8,$A28)*3+COUNTIF('Sprint W1'!$E$4:$E$8,$A28)*2+COUNTIF('Sprint W1'!$F$4:$F$8,$A28)*1)</f>
        <v>0</v>
      </c>
      <c r="D28" s="15">
        <f>IF($A28="",0,COUNTIF('Sprint W2'!$B$4:$B$8,$A28)*5+COUNTIF('Sprint W2'!$C$4:$C$8,$A28)*4+COUNTIF('Sprint W2'!$D$4:$D$8,$A28)*3+COUNTIF('Sprint W2'!$E$4:$E$8,$A28)*2+COUNTIF('Sprint W2'!$F$4:$F$8,$A28)*1)</f>
        <v>0</v>
      </c>
      <c r="E28" s="15">
        <f>IF($A28="",0,COUNTIF('Sprint W3'!$B$4:$B$8,$A28)*5+COUNTIF('Sprint W3'!$C$4:$C$8,$A28)*4+COUNTIF('Sprint W3'!$D$4:$D$8,$A28)*3+COUNTIF('Sprint W3'!$E$4:$E$8,$A28)*2+COUNTIF('Sprint W3'!$F$4:$F$8,$A28)*1)</f>
        <v>0</v>
      </c>
      <c r="F28" s="15">
        <f>IF($A28="",0,COUNTIF('Sprint W4'!$B$4:$B$8,$A28)*5+COUNTIF('Sprint W4'!$C$4:$C$8,$A28)*4+COUNTIF('Sprint W4'!$D$4:$D$8,$A28)*3+COUNTIF('Sprint W4'!$E$4:$E$8,$A28)*2+COUNTIF('Sprint W4'!$F$4:$F$8,$A28)*1)</f>
        <v>0</v>
      </c>
      <c r="G28" s="15">
        <f>IF($A28="",0,COUNTIF('Sprint W5'!$B$4:$B$8,$A28)*5+COUNTIF('Sprint W5'!$C$4:$C$8,$A28)*4+COUNTIF('Sprint W5'!$D$4:$D$8,$A28)*3+COUNTIF('Sprint W5'!$E$4:$E$8,$A28)*2+COUNTIF('Sprint W5'!$F$4:$F$8,$A28)*1)</f>
        <v>0</v>
      </c>
      <c r="H28" s="25" t="str">
        <f t="shared" si="0"/>
        <v/>
      </c>
      <c r="I28" s="26" t="str">
        <f t="shared" si="1"/>
        <v/>
      </c>
      <c r="AA28" t="str">
        <f>'Sprint W2'!D4</f>
        <v>Lars de Weert</v>
      </c>
      <c r="AB28">
        <f>IF(AA28="",0,IF(COUNTIF($AA$1:AA28,AA28)=1,1,0))</f>
        <v>1</v>
      </c>
      <c r="AC28">
        <f>IF(AB28=1,COUNTIF($AB$1:AB28,1),"")</f>
        <v>4</v>
      </c>
    </row>
    <row r="29" spans="1:29" x14ac:dyDescent="0.25">
      <c r="A29" s="13" t="str">
        <f>IFERROR(INDEX($AA$1:$AA$125,MATCH(26,$AC$1:$AC$125,0)),"")</f>
        <v/>
      </c>
      <c r="B29" s="33"/>
      <c r="C29" s="15">
        <f>IF($A29="",0,COUNTIF('Sprint W1'!$B$4:$B$8,$A29)*5+COUNTIF('Sprint W1'!$C$4:$C$8,$A29)*4+COUNTIF('Sprint W1'!$D$4:$D$8,$A29)*3+COUNTIF('Sprint W1'!$E$4:$E$8,$A29)*2+COUNTIF('Sprint W1'!$F$4:$F$8,$A29)*1)</f>
        <v>0</v>
      </c>
      <c r="D29" s="15">
        <f>IF($A29="",0,COUNTIF('Sprint W2'!$B$4:$B$8,$A29)*5+COUNTIF('Sprint W2'!$C$4:$C$8,$A29)*4+COUNTIF('Sprint W2'!$D$4:$D$8,$A29)*3+COUNTIF('Sprint W2'!$E$4:$E$8,$A29)*2+COUNTIF('Sprint W2'!$F$4:$F$8,$A29)*1)</f>
        <v>0</v>
      </c>
      <c r="E29" s="15">
        <f>IF($A29="",0,COUNTIF('Sprint W3'!$B$4:$B$8,$A29)*5+COUNTIF('Sprint W3'!$C$4:$C$8,$A29)*4+COUNTIF('Sprint W3'!$D$4:$D$8,$A29)*3+COUNTIF('Sprint W3'!$E$4:$E$8,$A29)*2+COUNTIF('Sprint W3'!$F$4:$F$8,$A29)*1)</f>
        <v>0</v>
      </c>
      <c r="F29" s="15">
        <f>IF($A29="",0,COUNTIF('Sprint W4'!$B$4:$B$8,$A29)*5+COUNTIF('Sprint W4'!$C$4:$C$8,$A29)*4+COUNTIF('Sprint W4'!$D$4:$D$8,$A29)*3+COUNTIF('Sprint W4'!$E$4:$E$8,$A29)*2+COUNTIF('Sprint W4'!$F$4:$F$8,$A29)*1)</f>
        <v>0</v>
      </c>
      <c r="G29" s="15">
        <f>IF($A29="",0,COUNTIF('Sprint W5'!$B$4:$B$8,$A29)*5+COUNTIF('Sprint W5'!$C$4:$C$8,$A29)*4+COUNTIF('Sprint W5'!$D$4:$D$8,$A29)*3+COUNTIF('Sprint W5'!$E$4:$E$8,$A29)*2+COUNTIF('Sprint W5'!$F$4:$F$8,$A29)*1)</f>
        <v>0</v>
      </c>
      <c r="H29" s="25" t="str">
        <f t="shared" si="0"/>
        <v/>
      </c>
      <c r="I29" s="26" t="str">
        <f t="shared" si="1"/>
        <v/>
      </c>
      <c r="AA29" t="str">
        <f>'Sprint W2'!E4</f>
        <v>Mitchell Huenders</v>
      </c>
      <c r="AB29">
        <f>IF(AA29="",0,IF(COUNTIF($AA$1:AA29,AA29)=1,1,0))</f>
        <v>1</v>
      </c>
      <c r="AC29">
        <f>IF(AB29=1,COUNTIF($AB$1:AB29,1),"")</f>
        <v>5</v>
      </c>
    </row>
    <row r="30" spans="1:29" x14ac:dyDescent="0.25">
      <c r="A30" s="13" t="str">
        <f>IFERROR(INDEX($AA$1:$AA$125,MATCH(27,$AC$1:$AC$125,0)),"")</f>
        <v/>
      </c>
      <c r="B30" s="33"/>
      <c r="C30" s="15">
        <f>IF($A30="",0,COUNTIF('Sprint W1'!$B$4:$B$8,$A30)*5+COUNTIF('Sprint W1'!$C$4:$C$8,$A30)*4+COUNTIF('Sprint W1'!$D$4:$D$8,$A30)*3+COUNTIF('Sprint W1'!$E$4:$E$8,$A30)*2+COUNTIF('Sprint W1'!$F$4:$F$8,$A30)*1)</f>
        <v>0</v>
      </c>
      <c r="D30" s="15">
        <f>IF($A30="",0,COUNTIF('Sprint W2'!$B$4:$B$8,$A30)*5+COUNTIF('Sprint W2'!$C$4:$C$8,$A30)*4+COUNTIF('Sprint W2'!$D$4:$D$8,$A30)*3+COUNTIF('Sprint W2'!$E$4:$E$8,$A30)*2+COUNTIF('Sprint W2'!$F$4:$F$8,$A30)*1)</f>
        <v>0</v>
      </c>
      <c r="E30" s="15">
        <f>IF($A30="",0,COUNTIF('Sprint W3'!$B$4:$B$8,$A30)*5+COUNTIF('Sprint W3'!$C$4:$C$8,$A30)*4+COUNTIF('Sprint W3'!$D$4:$D$8,$A30)*3+COUNTIF('Sprint W3'!$E$4:$E$8,$A30)*2+COUNTIF('Sprint W3'!$F$4:$F$8,$A30)*1)</f>
        <v>0</v>
      </c>
      <c r="F30" s="15">
        <f>IF($A30="",0,COUNTIF('Sprint W4'!$B$4:$B$8,$A30)*5+COUNTIF('Sprint W4'!$C$4:$C$8,$A30)*4+COUNTIF('Sprint W4'!$D$4:$D$8,$A30)*3+COUNTIF('Sprint W4'!$E$4:$E$8,$A30)*2+COUNTIF('Sprint W4'!$F$4:$F$8,$A30)*1)</f>
        <v>0</v>
      </c>
      <c r="G30" s="15">
        <f>IF($A30="",0,COUNTIF('Sprint W5'!$B$4:$B$8,$A30)*5+COUNTIF('Sprint W5'!$C$4:$C$8,$A30)*4+COUNTIF('Sprint W5'!$D$4:$D$8,$A30)*3+COUNTIF('Sprint W5'!$E$4:$E$8,$A30)*2+COUNTIF('Sprint W5'!$F$4:$F$8,$A30)*1)</f>
        <v>0</v>
      </c>
      <c r="H30" s="25" t="str">
        <f t="shared" si="0"/>
        <v/>
      </c>
      <c r="I30" s="26" t="str">
        <f t="shared" si="1"/>
        <v/>
      </c>
      <c r="AA30" t="str">
        <f>'Sprint W2'!F4</f>
        <v>Erwin van Leijen</v>
      </c>
      <c r="AB30">
        <f>IF(AA30="",0,IF(COUNTIF($AA$1:AA30,AA30)=1,1,0))</f>
        <v>1</v>
      </c>
      <c r="AC30">
        <f>IF(AB30=1,COUNTIF($AB$1:AB30,1),"")</f>
        <v>6</v>
      </c>
    </row>
    <row r="31" spans="1:29" x14ac:dyDescent="0.25">
      <c r="A31" s="13" t="str">
        <f>IFERROR(INDEX($AA$1:$AA$125,MATCH(28,$AC$1:$AC$125,0)),"")</f>
        <v/>
      </c>
      <c r="B31" s="33"/>
      <c r="C31" s="15">
        <f>IF($A31="",0,COUNTIF('Sprint W1'!$B$4:$B$8,$A31)*5+COUNTIF('Sprint W1'!$C$4:$C$8,$A31)*4+COUNTIF('Sprint W1'!$D$4:$D$8,$A31)*3+COUNTIF('Sprint W1'!$E$4:$E$8,$A31)*2+COUNTIF('Sprint W1'!$F$4:$F$8,$A31)*1)</f>
        <v>0</v>
      </c>
      <c r="D31" s="15">
        <f>IF($A31="",0,COUNTIF('Sprint W2'!$B$4:$B$8,$A31)*5+COUNTIF('Sprint W2'!$C$4:$C$8,$A31)*4+COUNTIF('Sprint W2'!$D$4:$D$8,$A31)*3+COUNTIF('Sprint W2'!$E$4:$E$8,$A31)*2+COUNTIF('Sprint W2'!$F$4:$F$8,$A31)*1)</f>
        <v>0</v>
      </c>
      <c r="E31" s="15">
        <f>IF($A31="",0,COUNTIF('Sprint W3'!$B$4:$B$8,$A31)*5+COUNTIF('Sprint W3'!$C$4:$C$8,$A31)*4+COUNTIF('Sprint W3'!$D$4:$D$8,$A31)*3+COUNTIF('Sprint W3'!$E$4:$E$8,$A31)*2+COUNTIF('Sprint W3'!$F$4:$F$8,$A31)*1)</f>
        <v>0</v>
      </c>
      <c r="F31" s="15">
        <f>IF($A31="",0,COUNTIF('Sprint W4'!$B$4:$B$8,$A31)*5+COUNTIF('Sprint W4'!$C$4:$C$8,$A31)*4+COUNTIF('Sprint W4'!$D$4:$D$8,$A31)*3+COUNTIF('Sprint W4'!$E$4:$E$8,$A31)*2+COUNTIF('Sprint W4'!$F$4:$F$8,$A31)*1)</f>
        <v>0</v>
      </c>
      <c r="G31" s="15">
        <f>IF($A31="",0,COUNTIF('Sprint W5'!$B$4:$B$8,$A31)*5+COUNTIF('Sprint W5'!$C$4:$C$8,$A31)*4+COUNTIF('Sprint W5'!$D$4:$D$8,$A31)*3+COUNTIF('Sprint W5'!$E$4:$E$8,$A31)*2+COUNTIF('Sprint W5'!$F$4:$F$8,$A31)*1)</f>
        <v>0</v>
      </c>
      <c r="H31" s="25" t="str">
        <f t="shared" si="0"/>
        <v/>
      </c>
      <c r="I31" s="26" t="str">
        <f t="shared" si="1"/>
        <v/>
      </c>
      <c r="AA31" t="str">
        <f>'Sprint W2'!B5</f>
        <v>Niels Immerzeel</v>
      </c>
      <c r="AB31">
        <f>IF(AA31="",0,IF(COUNTIF($AA$1:AA31,AA31)=1,1,0))</f>
        <v>0</v>
      </c>
      <c r="AC31" t="str">
        <f>IF(AB31=1,COUNTIF($AB$1:AB31,1),"")</f>
        <v/>
      </c>
    </row>
    <row r="32" spans="1:29" x14ac:dyDescent="0.25">
      <c r="A32" s="13" t="str">
        <f>IFERROR(INDEX($AA$1:$AA$125,MATCH(29,$AC$1:$AC$125,0)),"")</f>
        <v/>
      </c>
      <c r="B32" s="33"/>
      <c r="C32" s="15">
        <f>IF($A32="",0,COUNTIF('Sprint W1'!$B$4:$B$8,$A32)*5+COUNTIF('Sprint W1'!$C$4:$C$8,$A32)*4+COUNTIF('Sprint W1'!$D$4:$D$8,$A32)*3+COUNTIF('Sprint W1'!$E$4:$E$8,$A32)*2+COUNTIF('Sprint W1'!$F$4:$F$8,$A32)*1)</f>
        <v>0</v>
      </c>
      <c r="D32" s="15">
        <f>IF($A32="",0,COUNTIF('Sprint W2'!$B$4:$B$8,$A32)*5+COUNTIF('Sprint W2'!$C$4:$C$8,$A32)*4+COUNTIF('Sprint W2'!$D$4:$D$8,$A32)*3+COUNTIF('Sprint W2'!$E$4:$E$8,$A32)*2+COUNTIF('Sprint W2'!$F$4:$F$8,$A32)*1)</f>
        <v>0</v>
      </c>
      <c r="E32" s="15">
        <f>IF($A32="",0,COUNTIF('Sprint W3'!$B$4:$B$8,$A32)*5+COUNTIF('Sprint W3'!$C$4:$C$8,$A32)*4+COUNTIF('Sprint W3'!$D$4:$D$8,$A32)*3+COUNTIF('Sprint W3'!$E$4:$E$8,$A32)*2+COUNTIF('Sprint W3'!$F$4:$F$8,$A32)*1)</f>
        <v>0</v>
      </c>
      <c r="F32" s="15">
        <f>IF($A32="",0,COUNTIF('Sprint W4'!$B$4:$B$8,$A32)*5+COUNTIF('Sprint W4'!$C$4:$C$8,$A32)*4+COUNTIF('Sprint W4'!$D$4:$D$8,$A32)*3+COUNTIF('Sprint W4'!$E$4:$E$8,$A32)*2+COUNTIF('Sprint W4'!$F$4:$F$8,$A32)*1)</f>
        <v>0</v>
      </c>
      <c r="G32" s="15">
        <f>IF($A32="",0,COUNTIF('Sprint W5'!$B$4:$B$8,$A32)*5+COUNTIF('Sprint W5'!$C$4:$C$8,$A32)*4+COUNTIF('Sprint W5'!$D$4:$D$8,$A32)*3+COUNTIF('Sprint W5'!$E$4:$E$8,$A32)*2+COUNTIF('Sprint W5'!$F$4:$F$8,$A32)*1)</f>
        <v>0</v>
      </c>
      <c r="H32" s="25" t="str">
        <f t="shared" si="0"/>
        <v/>
      </c>
      <c r="I32" s="26" t="str">
        <f t="shared" si="1"/>
        <v/>
      </c>
      <c r="AA32" t="str">
        <f>'Sprint W2'!C5</f>
        <v>Lars de Weert</v>
      </c>
      <c r="AB32">
        <f>IF(AA32="",0,IF(COUNTIF($AA$1:AA32,AA32)=1,1,0))</f>
        <v>0</v>
      </c>
      <c r="AC32" t="str">
        <f>IF(AB32=1,COUNTIF($AB$1:AB32,1),"")</f>
        <v/>
      </c>
    </row>
    <row r="33" spans="1:29" x14ac:dyDescent="0.25">
      <c r="A33" s="13" t="str">
        <f>IFERROR(INDEX($AA$1:$AA$125,MATCH(30,$AC$1:$AC$125,0)),"")</f>
        <v/>
      </c>
      <c r="B33" s="33"/>
      <c r="C33" s="15">
        <f>IF($A33="",0,COUNTIF('Sprint W1'!$B$4:$B$8,$A33)*5+COUNTIF('Sprint W1'!$C$4:$C$8,$A33)*4+COUNTIF('Sprint W1'!$D$4:$D$8,$A33)*3+COUNTIF('Sprint W1'!$E$4:$E$8,$A33)*2+COUNTIF('Sprint W1'!$F$4:$F$8,$A33)*1)</f>
        <v>0</v>
      </c>
      <c r="D33" s="15">
        <f>IF($A33="",0,COUNTIF('Sprint W2'!$B$4:$B$8,$A33)*5+COUNTIF('Sprint W2'!$C$4:$C$8,$A33)*4+COUNTIF('Sprint W2'!$D$4:$D$8,$A33)*3+COUNTIF('Sprint W2'!$E$4:$E$8,$A33)*2+COUNTIF('Sprint W2'!$F$4:$F$8,$A33)*1)</f>
        <v>0</v>
      </c>
      <c r="E33" s="15">
        <f>IF($A33="",0,COUNTIF('Sprint W3'!$B$4:$B$8,$A33)*5+COUNTIF('Sprint W3'!$C$4:$C$8,$A33)*4+COUNTIF('Sprint W3'!$D$4:$D$8,$A33)*3+COUNTIF('Sprint W3'!$E$4:$E$8,$A33)*2+COUNTIF('Sprint W3'!$F$4:$F$8,$A33)*1)</f>
        <v>0</v>
      </c>
      <c r="F33" s="15">
        <f>IF($A33="",0,COUNTIF('Sprint W4'!$B$4:$B$8,$A33)*5+COUNTIF('Sprint W4'!$C$4:$C$8,$A33)*4+COUNTIF('Sprint W4'!$D$4:$D$8,$A33)*3+COUNTIF('Sprint W4'!$E$4:$E$8,$A33)*2+COUNTIF('Sprint W4'!$F$4:$F$8,$A33)*1)</f>
        <v>0</v>
      </c>
      <c r="G33" s="15">
        <f>IF($A33="",0,COUNTIF('Sprint W5'!$B$4:$B$8,$A33)*5+COUNTIF('Sprint W5'!$C$4:$C$8,$A33)*4+COUNTIF('Sprint W5'!$D$4:$D$8,$A33)*3+COUNTIF('Sprint W5'!$E$4:$E$8,$A33)*2+COUNTIF('Sprint W5'!$F$4:$F$8,$A33)*1)</f>
        <v>0</v>
      </c>
      <c r="H33" s="25" t="str">
        <f t="shared" si="0"/>
        <v/>
      </c>
      <c r="I33" s="26" t="str">
        <f t="shared" si="1"/>
        <v/>
      </c>
      <c r="AA33" t="str">
        <f>'Sprint W2'!D5</f>
        <v>Martijn Veling</v>
      </c>
      <c r="AB33">
        <f>IF(AA33="",0,IF(COUNTIF($AA$1:AA33,AA33)=1,1,0))</f>
        <v>1</v>
      </c>
      <c r="AC33">
        <f>IF(AB33=1,COUNTIF($AB$1:AB33,1),"")</f>
        <v>7</v>
      </c>
    </row>
    <row r="34" spans="1:29" x14ac:dyDescent="0.25">
      <c r="A34" s="13" t="str">
        <f>IFERROR(INDEX($AA$1:$AA$125,MATCH(31,$AC$1:$AC$125,0)),"")</f>
        <v/>
      </c>
      <c r="B34" s="33"/>
      <c r="C34" s="15">
        <f>IF($A34="",0,COUNTIF('Sprint W1'!$B$4:$B$8,$A34)*5+COUNTIF('Sprint W1'!$C$4:$C$8,$A34)*4+COUNTIF('Sprint W1'!$D$4:$D$8,$A34)*3+COUNTIF('Sprint W1'!$E$4:$E$8,$A34)*2+COUNTIF('Sprint W1'!$F$4:$F$8,$A34)*1)</f>
        <v>0</v>
      </c>
      <c r="D34" s="15">
        <f>IF($A34="",0,COUNTIF('Sprint W2'!$B$4:$B$8,$A34)*5+COUNTIF('Sprint W2'!$C$4:$C$8,$A34)*4+COUNTIF('Sprint W2'!$D$4:$D$8,$A34)*3+COUNTIF('Sprint W2'!$E$4:$E$8,$A34)*2+COUNTIF('Sprint W2'!$F$4:$F$8,$A34)*1)</f>
        <v>0</v>
      </c>
      <c r="E34" s="15">
        <f>IF($A34="",0,COUNTIF('Sprint W3'!$B$4:$B$8,$A34)*5+COUNTIF('Sprint W3'!$C$4:$C$8,$A34)*4+COUNTIF('Sprint W3'!$D$4:$D$8,$A34)*3+COUNTIF('Sprint W3'!$E$4:$E$8,$A34)*2+COUNTIF('Sprint W3'!$F$4:$F$8,$A34)*1)</f>
        <v>0</v>
      </c>
      <c r="F34" s="15">
        <f>IF($A34="",0,COUNTIF('Sprint W4'!$B$4:$B$8,$A34)*5+COUNTIF('Sprint W4'!$C$4:$C$8,$A34)*4+COUNTIF('Sprint W4'!$D$4:$D$8,$A34)*3+COUNTIF('Sprint W4'!$E$4:$E$8,$A34)*2+COUNTIF('Sprint W4'!$F$4:$F$8,$A34)*1)</f>
        <v>0</v>
      </c>
      <c r="G34" s="15">
        <f>IF($A34="",0,COUNTIF('Sprint W5'!$B$4:$B$8,$A34)*5+COUNTIF('Sprint W5'!$C$4:$C$8,$A34)*4+COUNTIF('Sprint W5'!$D$4:$D$8,$A34)*3+COUNTIF('Sprint W5'!$E$4:$E$8,$A34)*2+COUNTIF('Sprint W5'!$F$4:$F$8,$A34)*1)</f>
        <v>0</v>
      </c>
      <c r="H34" s="25" t="str">
        <f t="shared" si="0"/>
        <v/>
      </c>
      <c r="I34" s="26" t="str">
        <f t="shared" si="1"/>
        <v/>
      </c>
      <c r="AA34" t="str">
        <f>'Sprint W2'!E5</f>
        <v>Florijn van der Vliet</v>
      </c>
      <c r="AB34">
        <f>IF(AA34="",0,IF(COUNTIF($AA$1:AA34,AA34)=1,1,0))</f>
        <v>0</v>
      </c>
      <c r="AC34" t="str">
        <f>IF(AB34=1,COUNTIF($AB$1:AB34,1),"")</f>
        <v/>
      </c>
    </row>
    <row r="35" spans="1:29" x14ac:dyDescent="0.25">
      <c r="A35" s="13" t="str">
        <f>IFERROR(INDEX($AA$1:$AA$125,MATCH(32,$AC$1:$AC$125,0)),"")</f>
        <v/>
      </c>
      <c r="B35" s="33"/>
      <c r="C35" s="15">
        <f>IF($A35="",0,COUNTIF('Sprint W1'!$B$4:$B$8,$A35)*5+COUNTIF('Sprint W1'!$C$4:$C$8,$A35)*4+COUNTIF('Sprint W1'!$D$4:$D$8,$A35)*3+COUNTIF('Sprint W1'!$E$4:$E$8,$A35)*2+COUNTIF('Sprint W1'!$F$4:$F$8,$A35)*1)</f>
        <v>0</v>
      </c>
      <c r="D35" s="15">
        <f>IF($A35="",0,COUNTIF('Sprint W2'!$B$4:$B$8,$A35)*5+COUNTIF('Sprint W2'!$C$4:$C$8,$A35)*4+COUNTIF('Sprint W2'!$D$4:$D$8,$A35)*3+COUNTIF('Sprint W2'!$E$4:$E$8,$A35)*2+COUNTIF('Sprint W2'!$F$4:$F$8,$A35)*1)</f>
        <v>0</v>
      </c>
      <c r="E35" s="15">
        <f>IF($A35="",0,COUNTIF('Sprint W3'!$B$4:$B$8,$A35)*5+COUNTIF('Sprint W3'!$C$4:$C$8,$A35)*4+COUNTIF('Sprint W3'!$D$4:$D$8,$A35)*3+COUNTIF('Sprint W3'!$E$4:$E$8,$A35)*2+COUNTIF('Sprint W3'!$F$4:$F$8,$A35)*1)</f>
        <v>0</v>
      </c>
      <c r="F35" s="15">
        <f>IF($A35="",0,COUNTIF('Sprint W4'!$B$4:$B$8,$A35)*5+COUNTIF('Sprint W4'!$C$4:$C$8,$A35)*4+COUNTIF('Sprint W4'!$D$4:$D$8,$A35)*3+COUNTIF('Sprint W4'!$E$4:$E$8,$A35)*2+COUNTIF('Sprint W4'!$F$4:$F$8,$A35)*1)</f>
        <v>0</v>
      </c>
      <c r="G35" s="15">
        <f>IF($A35="",0,COUNTIF('Sprint W5'!$B$4:$B$8,$A35)*5+COUNTIF('Sprint W5'!$C$4:$C$8,$A35)*4+COUNTIF('Sprint W5'!$D$4:$D$8,$A35)*3+COUNTIF('Sprint W5'!$E$4:$E$8,$A35)*2+COUNTIF('Sprint W5'!$F$4:$F$8,$A35)*1)</f>
        <v>0</v>
      </c>
      <c r="H35" s="25" t="str">
        <f t="shared" si="0"/>
        <v/>
      </c>
      <c r="I35" s="26" t="str">
        <f t="shared" si="1"/>
        <v/>
      </c>
      <c r="AA35" t="str">
        <f>'Sprint W2'!F5</f>
        <v>Daan Switters</v>
      </c>
      <c r="AB35">
        <f>IF(AA35="",0,IF(COUNTIF($AA$1:AA35,AA35)=1,1,0))</f>
        <v>1</v>
      </c>
      <c r="AC35">
        <f>IF(AB35=1,COUNTIF($AB$1:AB35,1),"")</f>
        <v>8</v>
      </c>
    </row>
    <row r="36" spans="1:29" x14ac:dyDescent="0.25">
      <c r="A36" s="13" t="str">
        <f>IFERROR(INDEX($AA$1:$AA$125,MATCH(33,$AC$1:$AC$125,0)),"")</f>
        <v/>
      </c>
      <c r="B36" s="33"/>
      <c r="C36" s="15">
        <f>IF($A36="",0,COUNTIF('Sprint W1'!$B$4:$B$8,$A36)*5+COUNTIF('Sprint W1'!$C$4:$C$8,$A36)*4+COUNTIF('Sprint W1'!$D$4:$D$8,$A36)*3+COUNTIF('Sprint W1'!$E$4:$E$8,$A36)*2+COUNTIF('Sprint W1'!$F$4:$F$8,$A36)*1)</f>
        <v>0</v>
      </c>
      <c r="D36" s="15">
        <f>IF($A36="",0,COUNTIF('Sprint W2'!$B$4:$B$8,$A36)*5+COUNTIF('Sprint W2'!$C$4:$C$8,$A36)*4+COUNTIF('Sprint W2'!$D$4:$D$8,$A36)*3+COUNTIF('Sprint W2'!$E$4:$E$8,$A36)*2+COUNTIF('Sprint W2'!$F$4:$F$8,$A36)*1)</f>
        <v>0</v>
      </c>
      <c r="E36" s="15">
        <f>IF($A36="",0,COUNTIF('Sprint W3'!$B$4:$B$8,$A36)*5+COUNTIF('Sprint W3'!$C$4:$C$8,$A36)*4+COUNTIF('Sprint W3'!$D$4:$D$8,$A36)*3+COUNTIF('Sprint W3'!$E$4:$E$8,$A36)*2+COUNTIF('Sprint W3'!$F$4:$F$8,$A36)*1)</f>
        <v>0</v>
      </c>
      <c r="F36" s="15">
        <f>IF($A36="",0,COUNTIF('Sprint W4'!$B$4:$B$8,$A36)*5+COUNTIF('Sprint W4'!$C$4:$C$8,$A36)*4+COUNTIF('Sprint W4'!$D$4:$D$8,$A36)*3+COUNTIF('Sprint W4'!$E$4:$E$8,$A36)*2+COUNTIF('Sprint W4'!$F$4:$F$8,$A36)*1)</f>
        <v>0</v>
      </c>
      <c r="G36" s="15">
        <f>IF($A36="",0,COUNTIF('Sprint W5'!$B$4:$B$8,$A36)*5+COUNTIF('Sprint W5'!$C$4:$C$8,$A36)*4+COUNTIF('Sprint W5'!$D$4:$D$8,$A36)*3+COUNTIF('Sprint W5'!$E$4:$E$8,$A36)*2+COUNTIF('Sprint W5'!$F$4:$F$8,$A36)*1)</f>
        <v>0</v>
      </c>
      <c r="H36" s="25" t="str">
        <f t="shared" ref="H36:H67" si="2">IF($A36="","",C36+D36+E36+F36+G36)</f>
        <v/>
      </c>
      <c r="I36" s="26" t="str">
        <f t="shared" ref="I36:I67" si="3">IF(OR($A36="",H36="",H36=0),"",RANK(H36,$H$4:$H$103,0))</f>
        <v/>
      </c>
      <c r="AA36" t="str">
        <f>'Sprint W2'!B6</f>
        <v>Florijn van der Vliet</v>
      </c>
      <c r="AB36">
        <f>IF(AA36="",0,IF(COUNTIF($AA$1:AA36,AA36)=1,1,0))</f>
        <v>0</v>
      </c>
      <c r="AC36" t="str">
        <f>IF(AB36=1,COUNTIF($AB$1:AB36,1),"")</f>
        <v/>
      </c>
    </row>
    <row r="37" spans="1:29" x14ac:dyDescent="0.25">
      <c r="A37" s="13" t="str">
        <f>IFERROR(INDEX($AA$1:$AA$125,MATCH(34,$AC$1:$AC$125,0)),"")</f>
        <v/>
      </c>
      <c r="B37" s="33"/>
      <c r="C37" s="15">
        <f>IF($A37="",0,COUNTIF('Sprint W1'!$B$4:$B$8,$A37)*5+COUNTIF('Sprint W1'!$C$4:$C$8,$A37)*4+COUNTIF('Sprint W1'!$D$4:$D$8,$A37)*3+COUNTIF('Sprint W1'!$E$4:$E$8,$A37)*2+COUNTIF('Sprint W1'!$F$4:$F$8,$A37)*1)</f>
        <v>0</v>
      </c>
      <c r="D37" s="15">
        <f>IF($A37="",0,COUNTIF('Sprint W2'!$B$4:$B$8,$A37)*5+COUNTIF('Sprint W2'!$C$4:$C$8,$A37)*4+COUNTIF('Sprint W2'!$D$4:$D$8,$A37)*3+COUNTIF('Sprint W2'!$E$4:$E$8,$A37)*2+COUNTIF('Sprint W2'!$F$4:$F$8,$A37)*1)</f>
        <v>0</v>
      </c>
      <c r="E37" s="15">
        <f>IF($A37="",0,COUNTIF('Sprint W3'!$B$4:$B$8,$A37)*5+COUNTIF('Sprint W3'!$C$4:$C$8,$A37)*4+COUNTIF('Sprint W3'!$D$4:$D$8,$A37)*3+COUNTIF('Sprint W3'!$E$4:$E$8,$A37)*2+COUNTIF('Sprint W3'!$F$4:$F$8,$A37)*1)</f>
        <v>0</v>
      </c>
      <c r="F37" s="15">
        <f>IF($A37="",0,COUNTIF('Sprint W4'!$B$4:$B$8,$A37)*5+COUNTIF('Sprint W4'!$C$4:$C$8,$A37)*4+COUNTIF('Sprint W4'!$D$4:$D$8,$A37)*3+COUNTIF('Sprint W4'!$E$4:$E$8,$A37)*2+COUNTIF('Sprint W4'!$F$4:$F$8,$A37)*1)</f>
        <v>0</v>
      </c>
      <c r="G37" s="15">
        <f>IF($A37="",0,COUNTIF('Sprint W5'!$B$4:$B$8,$A37)*5+COUNTIF('Sprint W5'!$C$4:$C$8,$A37)*4+COUNTIF('Sprint W5'!$D$4:$D$8,$A37)*3+COUNTIF('Sprint W5'!$E$4:$E$8,$A37)*2+COUNTIF('Sprint W5'!$F$4:$F$8,$A37)*1)</f>
        <v>0</v>
      </c>
      <c r="H37" s="25" t="str">
        <f t="shared" si="2"/>
        <v/>
      </c>
      <c r="I37" s="26" t="str">
        <f t="shared" si="3"/>
        <v/>
      </c>
      <c r="AA37" t="str">
        <f>'Sprint W2'!C6</f>
        <v>Niek Bos</v>
      </c>
      <c r="AB37">
        <f>IF(AA37="",0,IF(COUNTIF($AA$1:AA37,AA37)=1,1,0))</f>
        <v>1</v>
      </c>
      <c r="AC37">
        <f>IF(AB37=1,COUNTIF($AB$1:AB37,1),"")</f>
        <v>9</v>
      </c>
    </row>
    <row r="38" spans="1:29" x14ac:dyDescent="0.25">
      <c r="A38" s="13" t="str">
        <f>IFERROR(INDEX($AA$1:$AA$125,MATCH(35,$AC$1:$AC$125,0)),"")</f>
        <v/>
      </c>
      <c r="B38" s="33"/>
      <c r="C38" s="15">
        <f>IF($A38="",0,COUNTIF('Sprint W1'!$B$4:$B$8,$A38)*5+COUNTIF('Sprint W1'!$C$4:$C$8,$A38)*4+COUNTIF('Sprint W1'!$D$4:$D$8,$A38)*3+COUNTIF('Sprint W1'!$E$4:$E$8,$A38)*2+COUNTIF('Sprint W1'!$F$4:$F$8,$A38)*1)</f>
        <v>0</v>
      </c>
      <c r="D38" s="15">
        <f>IF($A38="",0,COUNTIF('Sprint W2'!$B$4:$B$8,$A38)*5+COUNTIF('Sprint W2'!$C$4:$C$8,$A38)*4+COUNTIF('Sprint W2'!$D$4:$D$8,$A38)*3+COUNTIF('Sprint W2'!$E$4:$E$8,$A38)*2+COUNTIF('Sprint W2'!$F$4:$F$8,$A38)*1)</f>
        <v>0</v>
      </c>
      <c r="E38" s="15">
        <f>IF($A38="",0,COUNTIF('Sprint W3'!$B$4:$B$8,$A38)*5+COUNTIF('Sprint W3'!$C$4:$C$8,$A38)*4+COUNTIF('Sprint W3'!$D$4:$D$8,$A38)*3+COUNTIF('Sprint W3'!$E$4:$E$8,$A38)*2+COUNTIF('Sprint W3'!$F$4:$F$8,$A38)*1)</f>
        <v>0</v>
      </c>
      <c r="F38" s="15">
        <f>IF($A38="",0,COUNTIF('Sprint W4'!$B$4:$B$8,$A38)*5+COUNTIF('Sprint W4'!$C$4:$C$8,$A38)*4+COUNTIF('Sprint W4'!$D$4:$D$8,$A38)*3+COUNTIF('Sprint W4'!$E$4:$E$8,$A38)*2+COUNTIF('Sprint W4'!$F$4:$F$8,$A38)*1)</f>
        <v>0</v>
      </c>
      <c r="G38" s="15">
        <f>IF($A38="",0,COUNTIF('Sprint W5'!$B$4:$B$8,$A38)*5+COUNTIF('Sprint W5'!$C$4:$C$8,$A38)*4+COUNTIF('Sprint W5'!$D$4:$D$8,$A38)*3+COUNTIF('Sprint W5'!$E$4:$E$8,$A38)*2+COUNTIF('Sprint W5'!$F$4:$F$8,$A38)*1)</f>
        <v>0</v>
      </c>
      <c r="H38" s="25" t="str">
        <f t="shared" si="2"/>
        <v/>
      </c>
      <c r="I38" s="26" t="str">
        <f t="shared" si="3"/>
        <v/>
      </c>
      <c r="AA38" t="str">
        <f>'Sprint W2'!D6</f>
        <v>Noery Weber</v>
      </c>
      <c r="AB38">
        <f>IF(AA38="",0,IF(COUNTIF($AA$1:AA38,AA38)=1,1,0))</f>
        <v>1</v>
      </c>
      <c r="AC38">
        <f>IF(AB38=1,COUNTIF($AB$1:AB38,1),"")</f>
        <v>10</v>
      </c>
    </row>
    <row r="39" spans="1:29" x14ac:dyDescent="0.25">
      <c r="A39" s="13" t="str">
        <f>IFERROR(INDEX($AA$1:$AA$125,MATCH(36,$AC$1:$AC$125,0)),"")</f>
        <v/>
      </c>
      <c r="B39" s="33"/>
      <c r="C39" s="15">
        <f>IF($A39="",0,COUNTIF('Sprint W1'!$B$4:$B$8,$A39)*5+COUNTIF('Sprint W1'!$C$4:$C$8,$A39)*4+COUNTIF('Sprint W1'!$D$4:$D$8,$A39)*3+COUNTIF('Sprint W1'!$E$4:$E$8,$A39)*2+COUNTIF('Sprint W1'!$F$4:$F$8,$A39)*1)</f>
        <v>0</v>
      </c>
      <c r="D39" s="15">
        <f>IF($A39="",0,COUNTIF('Sprint W2'!$B$4:$B$8,$A39)*5+COUNTIF('Sprint W2'!$C$4:$C$8,$A39)*4+COUNTIF('Sprint W2'!$D$4:$D$8,$A39)*3+COUNTIF('Sprint W2'!$E$4:$E$8,$A39)*2+COUNTIF('Sprint W2'!$F$4:$F$8,$A39)*1)</f>
        <v>0</v>
      </c>
      <c r="E39" s="15">
        <f>IF($A39="",0,COUNTIF('Sprint W3'!$B$4:$B$8,$A39)*5+COUNTIF('Sprint W3'!$C$4:$C$8,$A39)*4+COUNTIF('Sprint W3'!$D$4:$D$8,$A39)*3+COUNTIF('Sprint W3'!$E$4:$E$8,$A39)*2+COUNTIF('Sprint W3'!$F$4:$F$8,$A39)*1)</f>
        <v>0</v>
      </c>
      <c r="F39" s="15">
        <f>IF($A39="",0,COUNTIF('Sprint W4'!$B$4:$B$8,$A39)*5+COUNTIF('Sprint W4'!$C$4:$C$8,$A39)*4+COUNTIF('Sprint W4'!$D$4:$D$8,$A39)*3+COUNTIF('Sprint W4'!$E$4:$E$8,$A39)*2+COUNTIF('Sprint W4'!$F$4:$F$8,$A39)*1)</f>
        <v>0</v>
      </c>
      <c r="G39" s="15">
        <f>IF($A39="",0,COUNTIF('Sprint W5'!$B$4:$B$8,$A39)*5+COUNTIF('Sprint W5'!$C$4:$C$8,$A39)*4+COUNTIF('Sprint W5'!$D$4:$D$8,$A39)*3+COUNTIF('Sprint W5'!$E$4:$E$8,$A39)*2+COUNTIF('Sprint W5'!$F$4:$F$8,$A39)*1)</f>
        <v>0</v>
      </c>
      <c r="H39" s="25" t="str">
        <f t="shared" si="2"/>
        <v/>
      </c>
      <c r="I39" s="26" t="str">
        <f t="shared" si="3"/>
        <v/>
      </c>
      <c r="AA39" t="str">
        <f>'Sprint W2'!E6</f>
        <v>Niels Immerzeel</v>
      </c>
      <c r="AB39">
        <f>IF(AA39="",0,IF(COUNTIF($AA$1:AA39,AA39)=1,1,0))</f>
        <v>0</v>
      </c>
      <c r="AC39" t="str">
        <f>IF(AB39=1,COUNTIF($AB$1:AB39,1),"")</f>
        <v/>
      </c>
    </row>
    <row r="40" spans="1:29" x14ac:dyDescent="0.25">
      <c r="A40" s="13" t="str">
        <f>IFERROR(INDEX($AA$1:$AA$125,MATCH(37,$AC$1:$AC$125,0)),"")</f>
        <v/>
      </c>
      <c r="B40" s="33"/>
      <c r="C40" s="15">
        <f>IF($A40="",0,COUNTIF('Sprint W1'!$B$4:$B$8,$A40)*5+COUNTIF('Sprint W1'!$C$4:$C$8,$A40)*4+COUNTIF('Sprint W1'!$D$4:$D$8,$A40)*3+COUNTIF('Sprint W1'!$E$4:$E$8,$A40)*2+COUNTIF('Sprint W1'!$F$4:$F$8,$A40)*1)</f>
        <v>0</v>
      </c>
      <c r="D40" s="15">
        <f>IF($A40="",0,COUNTIF('Sprint W2'!$B$4:$B$8,$A40)*5+COUNTIF('Sprint W2'!$C$4:$C$8,$A40)*4+COUNTIF('Sprint W2'!$D$4:$D$8,$A40)*3+COUNTIF('Sprint W2'!$E$4:$E$8,$A40)*2+COUNTIF('Sprint W2'!$F$4:$F$8,$A40)*1)</f>
        <v>0</v>
      </c>
      <c r="E40" s="15">
        <f>IF($A40="",0,COUNTIF('Sprint W3'!$B$4:$B$8,$A40)*5+COUNTIF('Sprint W3'!$C$4:$C$8,$A40)*4+COUNTIF('Sprint W3'!$D$4:$D$8,$A40)*3+COUNTIF('Sprint W3'!$E$4:$E$8,$A40)*2+COUNTIF('Sprint W3'!$F$4:$F$8,$A40)*1)</f>
        <v>0</v>
      </c>
      <c r="F40" s="15">
        <f>IF($A40="",0,COUNTIF('Sprint W4'!$B$4:$B$8,$A40)*5+COUNTIF('Sprint W4'!$C$4:$C$8,$A40)*4+COUNTIF('Sprint W4'!$D$4:$D$8,$A40)*3+COUNTIF('Sprint W4'!$E$4:$E$8,$A40)*2+COUNTIF('Sprint W4'!$F$4:$F$8,$A40)*1)</f>
        <v>0</v>
      </c>
      <c r="G40" s="15">
        <f>IF($A40="",0,COUNTIF('Sprint W5'!$B$4:$B$8,$A40)*5+COUNTIF('Sprint W5'!$C$4:$C$8,$A40)*4+COUNTIF('Sprint W5'!$D$4:$D$8,$A40)*3+COUNTIF('Sprint W5'!$E$4:$E$8,$A40)*2+COUNTIF('Sprint W5'!$F$4:$F$8,$A40)*1)</f>
        <v>0</v>
      </c>
      <c r="H40" s="25" t="str">
        <f t="shared" si="2"/>
        <v/>
      </c>
      <c r="I40" s="26" t="str">
        <f t="shared" si="3"/>
        <v/>
      </c>
      <c r="AA40" t="str">
        <f>'Sprint W2'!F6</f>
        <v>Lars de Weert</v>
      </c>
      <c r="AB40">
        <f>IF(AA40="",0,IF(COUNTIF($AA$1:AA40,AA40)=1,1,0))</f>
        <v>0</v>
      </c>
      <c r="AC40" t="str">
        <f>IF(AB40=1,COUNTIF($AB$1:AB40,1),"")</f>
        <v/>
      </c>
    </row>
    <row r="41" spans="1:29" x14ac:dyDescent="0.25">
      <c r="A41" s="13" t="str">
        <f>IFERROR(INDEX($AA$1:$AA$125,MATCH(38,$AC$1:$AC$125,0)),"")</f>
        <v/>
      </c>
      <c r="B41" s="33"/>
      <c r="C41" s="15">
        <f>IF($A41="",0,COUNTIF('Sprint W1'!$B$4:$B$8,$A41)*5+COUNTIF('Sprint W1'!$C$4:$C$8,$A41)*4+COUNTIF('Sprint W1'!$D$4:$D$8,$A41)*3+COUNTIF('Sprint W1'!$E$4:$E$8,$A41)*2+COUNTIF('Sprint W1'!$F$4:$F$8,$A41)*1)</f>
        <v>0</v>
      </c>
      <c r="D41" s="15">
        <f>IF($A41="",0,COUNTIF('Sprint W2'!$B$4:$B$8,$A41)*5+COUNTIF('Sprint W2'!$C$4:$C$8,$A41)*4+COUNTIF('Sprint W2'!$D$4:$D$8,$A41)*3+COUNTIF('Sprint W2'!$E$4:$E$8,$A41)*2+COUNTIF('Sprint W2'!$F$4:$F$8,$A41)*1)</f>
        <v>0</v>
      </c>
      <c r="E41" s="15">
        <f>IF($A41="",0,COUNTIF('Sprint W3'!$B$4:$B$8,$A41)*5+COUNTIF('Sprint W3'!$C$4:$C$8,$A41)*4+COUNTIF('Sprint W3'!$D$4:$D$8,$A41)*3+COUNTIF('Sprint W3'!$E$4:$E$8,$A41)*2+COUNTIF('Sprint W3'!$F$4:$F$8,$A41)*1)</f>
        <v>0</v>
      </c>
      <c r="F41" s="15">
        <f>IF($A41="",0,COUNTIF('Sprint W4'!$B$4:$B$8,$A41)*5+COUNTIF('Sprint W4'!$C$4:$C$8,$A41)*4+COUNTIF('Sprint W4'!$D$4:$D$8,$A41)*3+COUNTIF('Sprint W4'!$E$4:$E$8,$A41)*2+COUNTIF('Sprint W4'!$F$4:$F$8,$A41)*1)</f>
        <v>0</v>
      </c>
      <c r="G41" s="15">
        <f>IF($A41="",0,COUNTIF('Sprint W5'!$B$4:$B$8,$A41)*5+COUNTIF('Sprint W5'!$C$4:$C$8,$A41)*4+COUNTIF('Sprint W5'!$D$4:$D$8,$A41)*3+COUNTIF('Sprint W5'!$E$4:$E$8,$A41)*2+COUNTIF('Sprint W5'!$F$4:$F$8,$A41)*1)</f>
        <v>0</v>
      </c>
      <c r="H41" s="25" t="str">
        <f t="shared" si="2"/>
        <v/>
      </c>
      <c r="I41" s="26" t="str">
        <f t="shared" si="3"/>
        <v/>
      </c>
      <c r="AA41" t="str">
        <f>'Sprint W2'!B7</f>
        <v>Florijn van der Vliet</v>
      </c>
      <c r="AB41">
        <f>IF(AA41="",0,IF(COUNTIF($AA$1:AA41,AA41)=1,1,0))</f>
        <v>0</v>
      </c>
      <c r="AC41" t="str">
        <f>IF(AB41=1,COUNTIF($AB$1:AB41,1),"")</f>
        <v/>
      </c>
    </row>
    <row r="42" spans="1:29" x14ac:dyDescent="0.25">
      <c r="A42" s="13" t="str">
        <f>IFERROR(INDEX($AA$1:$AA$125,MATCH(39,$AC$1:$AC$125,0)),"")</f>
        <v/>
      </c>
      <c r="B42" s="33"/>
      <c r="C42" s="15">
        <f>IF($A42="",0,COUNTIF('Sprint W1'!$B$4:$B$8,$A42)*5+COUNTIF('Sprint W1'!$C$4:$C$8,$A42)*4+COUNTIF('Sprint W1'!$D$4:$D$8,$A42)*3+COUNTIF('Sprint W1'!$E$4:$E$8,$A42)*2+COUNTIF('Sprint W1'!$F$4:$F$8,$A42)*1)</f>
        <v>0</v>
      </c>
      <c r="D42" s="15">
        <f>IF($A42="",0,COUNTIF('Sprint W2'!$B$4:$B$8,$A42)*5+COUNTIF('Sprint W2'!$C$4:$C$8,$A42)*4+COUNTIF('Sprint W2'!$D$4:$D$8,$A42)*3+COUNTIF('Sprint W2'!$E$4:$E$8,$A42)*2+COUNTIF('Sprint W2'!$F$4:$F$8,$A42)*1)</f>
        <v>0</v>
      </c>
      <c r="E42" s="15">
        <f>IF($A42="",0,COUNTIF('Sprint W3'!$B$4:$B$8,$A42)*5+COUNTIF('Sprint W3'!$C$4:$C$8,$A42)*4+COUNTIF('Sprint W3'!$D$4:$D$8,$A42)*3+COUNTIF('Sprint W3'!$E$4:$E$8,$A42)*2+COUNTIF('Sprint W3'!$F$4:$F$8,$A42)*1)</f>
        <v>0</v>
      </c>
      <c r="F42" s="15">
        <f>IF($A42="",0,COUNTIF('Sprint W4'!$B$4:$B$8,$A42)*5+COUNTIF('Sprint W4'!$C$4:$C$8,$A42)*4+COUNTIF('Sprint W4'!$D$4:$D$8,$A42)*3+COUNTIF('Sprint W4'!$E$4:$E$8,$A42)*2+COUNTIF('Sprint W4'!$F$4:$F$8,$A42)*1)</f>
        <v>0</v>
      </c>
      <c r="G42" s="15">
        <f>IF($A42="",0,COUNTIF('Sprint W5'!$B$4:$B$8,$A42)*5+COUNTIF('Sprint W5'!$C$4:$C$8,$A42)*4+COUNTIF('Sprint W5'!$D$4:$D$8,$A42)*3+COUNTIF('Sprint W5'!$E$4:$E$8,$A42)*2+COUNTIF('Sprint W5'!$F$4:$F$8,$A42)*1)</f>
        <v>0</v>
      </c>
      <c r="H42" s="25" t="str">
        <f t="shared" si="2"/>
        <v/>
      </c>
      <c r="I42" s="26" t="str">
        <f t="shared" si="3"/>
        <v/>
      </c>
      <c r="AA42" t="str">
        <f>'Sprint W2'!C7</f>
        <v>Niek Bos</v>
      </c>
      <c r="AB42">
        <f>IF(AA42="",0,IF(COUNTIF($AA$1:AA42,AA42)=1,1,0))</f>
        <v>0</v>
      </c>
      <c r="AC42" t="str">
        <f>IF(AB42=1,COUNTIF($AB$1:AB42,1),"")</f>
        <v/>
      </c>
    </row>
    <row r="43" spans="1:29" x14ac:dyDescent="0.25">
      <c r="A43" s="13" t="str">
        <f>IFERROR(INDEX($AA$1:$AA$125,MATCH(40,$AC$1:$AC$125,0)),"")</f>
        <v/>
      </c>
      <c r="B43" s="33"/>
      <c r="C43" s="15">
        <f>IF($A43="",0,COUNTIF('Sprint W1'!$B$4:$B$8,$A43)*5+COUNTIF('Sprint W1'!$C$4:$C$8,$A43)*4+COUNTIF('Sprint W1'!$D$4:$D$8,$A43)*3+COUNTIF('Sprint W1'!$E$4:$E$8,$A43)*2+COUNTIF('Sprint W1'!$F$4:$F$8,$A43)*1)</f>
        <v>0</v>
      </c>
      <c r="D43" s="15">
        <f>IF($A43="",0,COUNTIF('Sprint W2'!$B$4:$B$8,$A43)*5+COUNTIF('Sprint W2'!$C$4:$C$8,$A43)*4+COUNTIF('Sprint W2'!$D$4:$D$8,$A43)*3+COUNTIF('Sprint W2'!$E$4:$E$8,$A43)*2+COUNTIF('Sprint W2'!$F$4:$F$8,$A43)*1)</f>
        <v>0</v>
      </c>
      <c r="E43" s="15">
        <f>IF($A43="",0,COUNTIF('Sprint W3'!$B$4:$B$8,$A43)*5+COUNTIF('Sprint W3'!$C$4:$C$8,$A43)*4+COUNTIF('Sprint W3'!$D$4:$D$8,$A43)*3+COUNTIF('Sprint W3'!$E$4:$E$8,$A43)*2+COUNTIF('Sprint W3'!$F$4:$F$8,$A43)*1)</f>
        <v>0</v>
      </c>
      <c r="F43" s="15">
        <f>IF($A43="",0,COUNTIF('Sprint W4'!$B$4:$B$8,$A43)*5+COUNTIF('Sprint W4'!$C$4:$C$8,$A43)*4+COUNTIF('Sprint W4'!$D$4:$D$8,$A43)*3+COUNTIF('Sprint W4'!$E$4:$E$8,$A43)*2+COUNTIF('Sprint W4'!$F$4:$F$8,$A43)*1)</f>
        <v>0</v>
      </c>
      <c r="G43" s="15">
        <f>IF($A43="",0,COUNTIF('Sprint W5'!$B$4:$B$8,$A43)*5+COUNTIF('Sprint W5'!$C$4:$C$8,$A43)*4+COUNTIF('Sprint W5'!$D$4:$D$8,$A43)*3+COUNTIF('Sprint W5'!$E$4:$E$8,$A43)*2+COUNTIF('Sprint W5'!$F$4:$F$8,$A43)*1)</f>
        <v>0</v>
      </c>
      <c r="H43" s="25" t="str">
        <f t="shared" si="2"/>
        <v/>
      </c>
      <c r="I43" s="26" t="str">
        <f t="shared" si="3"/>
        <v/>
      </c>
      <c r="AA43" t="str">
        <f>'Sprint W2'!D7</f>
        <v>Roel de Vries</v>
      </c>
      <c r="AB43">
        <f>IF(AA43="",0,IF(COUNTIF($AA$1:AA43,AA43)=1,1,0))</f>
        <v>1</v>
      </c>
      <c r="AC43">
        <f>IF(AB43=1,COUNTIF($AB$1:AB43,1),"")</f>
        <v>11</v>
      </c>
    </row>
    <row r="44" spans="1:29" x14ac:dyDescent="0.25">
      <c r="A44" s="13" t="str">
        <f>IFERROR(INDEX($AA$1:$AA$125,MATCH(41,$AC$1:$AC$125,0)),"")</f>
        <v/>
      </c>
      <c r="B44" s="33"/>
      <c r="C44" s="15">
        <f>IF($A44="",0,COUNTIF('Sprint W1'!$B$4:$B$8,$A44)*5+COUNTIF('Sprint W1'!$C$4:$C$8,$A44)*4+COUNTIF('Sprint W1'!$D$4:$D$8,$A44)*3+COUNTIF('Sprint W1'!$E$4:$E$8,$A44)*2+COUNTIF('Sprint W1'!$F$4:$F$8,$A44)*1)</f>
        <v>0</v>
      </c>
      <c r="D44" s="15">
        <f>IF($A44="",0,COUNTIF('Sprint W2'!$B$4:$B$8,$A44)*5+COUNTIF('Sprint W2'!$C$4:$C$8,$A44)*4+COUNTIF('Sprint W2'!$D$4:$D$8,$A44)*3+COUNTIF('Sprint W2'!$E$4:$E$8,$A44)*2+COUNTIF('Sprint W2'!$F$4:$F$8,$A44)*1)</f>
        <v>0</v>
      </c>
      <c r="E44" s="15">
        <f>IF($A44="",0,COUNTIF('Sprint W3'!$B$4:$B$8,$A44)*5+COUNTIF('Sprint W3'!$C$4:$C$8,$A44)*4+COUNTIF('Sprint W3'!$D$4:$D$8,$A44)*3+COUNTIF('Sprint W3'!$E$4:$E$8,$A44)*2+COUNTIF('Sprint W3'!$F$4:$F$8,$A44)*1)</f>
        <v>0</v>
      </c>
      <c r="F44" s="15">
        <f>IF($A44="",0,COUNTIF('Sprint W4'!$B$4:$B$8,$A44)*5+COUNTIF('Sprint W4'!$C$4:$C$8,$A44)*4+COUNTIF('Sprint W4'!$D$4:$D$8,$A44)*3+COUNTIF('Sprint W4'!$E$4:$E$8,$A44)*2+COUNTIF('Sprint W4'!$F$4:$F$8,$A44)*1)</f>
        <v>0</v>
      </c>
      <c r="G44" s="15">
        <f>IF($A44="",0,COUNTIF('Sprint W5'!$B$4:$B$8,$A44)*5+COUNTIF('Sprint W5'!$C$4:$C$8,$A44)*4+COUNTIF('Sprint W5'!$D$4:$D$8,$A44)*3+COUNTIF('Sprint W5'!$E$4:$E$8,$A44)*2+COUNTIF('Sprint W5'!$F$4:$F$8,$A44)*1)</f>
        <v>0</v>
      </c>
      <c r="H44" s="25" t="str">
        <f t="shared" si="2"/>
        <v/>
      </c>
      <c r="I44" s="26" t="str">
        <f t="shared" si="3"/>
        <v/>
      </c>
      <c r="AA44" t="str">
        <f>'Sprint W2'!E7</f>
        <v>Martijn Veling</v>
      </c>
      <c r="AB44">
        <f>IF(AA44="",0,IF(COUNTIF($AA$1:AA44,AA44)=1,1,0))</f>
        <v>0</v>
      </c>
      <c r="AC44" t="str">
        <f>IF(AB44=1,COUNTIF($AB$1:AB44,1),"")</f>
        <v/>
      </c>
    </row>
    <row r="45" spans="1:29" x14ac:dyDescent="0.25">
      <c r="A45" s="13" t="str">
        <f>IFERROR(INDEX($AA$1:$AA$125,MATCH(42,$AC$1:$AC$125,0)),"")</f>
        <v/>
      </c>
      <c r="B45" s="33"/>
      <c r="C45" s="15">
        <f>IF($A45="",0,COUNTIF('Sprint W1'!$B$4:$B$8,$A45)*5+COUNTIF('Sprint W1'!$C$4:$C$8,$A45)*4+COUNTIF('Sprint W1'!$D$4:$D$8,$A45)*3+COUNTIF('Sprint W1'!$E$4:$E$8,$A45)*2+COUNTIF('Sprint W1'!$F$4:$F$8,$A45)*1)</f>
        <v>0</v>
      </c>
      <c r="D45" s="15">
        <f>IF($A45="",0,COUNTIF('Sprint W2'!$B$4:$B$8,$A45)*5+COUNTIF('Sprint W2'!$C$4:$C$8,$A45)*4+COUNTIF('Sprint W2'!$D$4:$D$8,$A45)*3+COUNTIF('Sprint W2'!$E$4:$E$8,$A45)*2+COUNTIF('Sprint W2'!$F$4:$F$8,$A45)*1)</f>
        <v>0</v>
      </c>
      <c r="E45" s="15">
        <f>IF($A45="",0,COUNTIF('Sprint W3'!$B$4:$B$8,$A45)*5+COUNTIF('Sprint W3'!$C$4:$C$8,$A45)*4+COUNTIF('Sprint W3'!$D$4:$D$8,$A45)*3+COUNTIF('Sprint W3'!$E$4:$E$8,$A45)*2+COUNTIF('Sprint W3'!$F$4:$F$8,$A45)*1)</f>
        <v>0</v>
      </c>
      <c r="F45" s="15">
        <f>IF($A45="",0,COUNTIF('Sprint W4'!$B$4:$B$8,$A45)*5+COUNTIF('Sprint W4'!$C$4:$C$8,$A45)*4+COUNTIF('Sprint W4'!$D$4:$D$8,$A45)*3+COUNTIF('Sprint W4'!$E$4:$E$8,$A45)*2+COUNTIF('Sprint W4'!$F$4:$F$8,$A45)*1)</f>
        <v>0</v>
      </c>
      <c r="G45" s="15">
        <f>IF($A45="",0,COUNTIF('Sprint W5'!$B$4:$B$8,$A45)*5+COUNTIF('Sprint W5'!$C$4:$C$8,$A45)*4+COUNTIF('Sprint W5'!$D$4:$D$8,$A45)*3+COUNTIF('Sprint W5'!$E$4:$E$8,$A45)*2+COUNTIF('Sprint W5'!$F$4:$F$8,$A45)*1)</f>
        <v>0</v>
      </c>
      <c r="H45" s="25" t="str">
        <f t="shared" si="2"/>
        <v/>
      </c>
      <c r="I45" s="26" t="str">
        <f t="shared" si="3"/>
        <v/>
      </c>
      <c r="AA45" t="str">
        <f>'Sprint W2'!F7</f>
        <v>Niels Immerzeel</v>
      </c>
      <c r="AB45">
        <f>IF(AA45="",0,IF(COUNTIF($AA$1:AA45,AA45)=1,1,0))</f>
        <v>0</v>
      </c>
      <c r="AC45" t="str">
        <f>IF(AB45=1,COUNTIF($AB$1:AB45,1),"")</f>
        <v/>
      </c>
    </row>
    <row r="46" spans="1:29" x14ac:dyDescent="0.25">
      <c r="A46" s="13" t="str">
        <f>IFERROR(INDEX($AA$1:$AA$125,MATCH(43,$AC$1:$AC$125,0)),"")</f>
        <v/>
      </c>
      <c r="B46" s="33"/>
      <c r="C46" s="15">
        <f>IF($A46="",0,COUNTIF('Sprint W1'!$B$4:$B$8,$A46)*5+COUNTIF('Sprint W1'!$C$4:$C$8,$A46)*4+COUNTIF('Sprint W1'!$D$4:$D$8,$A46)*3+COUNTIF('Sprint W1'!$E$4:$E$8,$A46)*2+COUNTIF('Sprint W1'!$F$4:$F$8,$A46)*1)</f>
        <v>0</v>
      </c>
      <c r="D46" s="15">
        <f>IF($A46="",0,COUNTIF('Sprint W2'!$B$4:$B$8,$A46)*5+COUNTIF('Sprint W2'!$C$4:$C$8,$A46)*4+COUNTIF('Sprint W2'!$D$4:$D$8,$A46)*3+COUNTIF('Sprint W2'!$E$4:$E$8,$A46)*2+COUNTIF('Sprint W2'!$F$4:$F$8,$A46)*1)</f>
        <v>0</v>
      </c>
      <c r="E46" s="15">
        <f>IF($A46="",0,COUNTIF('Sprint W3'!$B$4:$B$8,$A46)*5+COUNTIF('Sprint W3'!$C$4:$C$8,$A46)*4+COUNTIF('Sprint W3'!$D$4:$D$8,$A46)*3+COUNTIF('Sprint W3'!$E$4:$E$8,$A46)*2+COUNTIF('Sprint W3'!$F$4:$F$8,$A46)*1)</f>
        <v>0</v>
      </c>
      <c r="F46" s="15">
        <f>IF($A46="",0,COUNTIF('Sprint W4'!$B$4:$B$8,$A46)*5+COUNTIF('Sprint W4'!$C$4:$C$8,$A46)*4+COUNTIF('Sprint W4'!$D$4:$D$8,$A46)*3+COUNTIF('Sprint W4'!$E$4:$E$8,$A46)*2+COUNTIF('Sprint W4'!$F$4:$F$8,$A46)*1)</f>
        <v>0</v>
      </c>
      <c r="G46" s="15">
        <f>IF($A46="",0,COUNTIF('Sprint W5'!$B$4:$B$8,$A46)*5+COUNTIF('Sprint W5'!$C$4:$C$8,$A46)*4+COUNTIF('Sprint W5'!$D$4:$D$8,$A46)*3+COUNTIF('Sprint W5'!$E$4:$E$8,$A46)*2+COUNTIF('Sprint W5'!$F$4:$F$8,$A46)*1)</f>
        <v>0</v>
      </c>
      <c r="H46" s="25" t="str">
        <f t="shared" si="2"/>
        <v/>
      </c>
      <c r="I46" s="26" t="str">
        <f t="shared" si="3"/>
        <v/>
      </c>
      <c r="AA46" t="str">
        <f>'Sprint W2'!B8</f>
        <v>Niek Bos</v>
      </c>
      <c r="AB46">
        <f>IF(AA46="",0,IF(COUNTIF($AA$1:AA46,AA46)=1,1,0))</f>
        <v>0</v>
      </c>
      <c r="AC46" t="str">
        <f>IF(AB46=1,COUNTIF($AB$1:AB46,1),"")</f>
        <v/>
      </c>
    </row>
    <row r="47" spans="1:29" x14ac:dyDescent="0.25">
      <c r="A47" s="13" t="str">
        <f>IFERROR(INDEX($AA$1:$AA$125,MATCH(44,$AC$1:$AC$125,0)),"")</f>
        <v/>
      </c>
      <c r="B47" s="33"/>
      <c r="C47" s="15">
        <f>IF($A47="",0,COUNTIF('Sprint W1'!$B$4:$B$8,$A47)*5+COUNTIF('Sprint W1'!$C$4:$C$8,$A47)*4+COUNTIF('Sprint W1'!$D$4:$D$8,$A47)*3+COUNTIF('Sprint W1'!$E$4:$E$8,$A47)*2+COUNTIF('Sprint W1'!$F$4:$F$8,$A47)*1)</f>
        <v>0</v>
      </c>
      <c r="D47" s="15">
        <f>IF($A47="",0,COUNTIF('Sprint W2'!$B$4:$B$8,$A47)*5+COUNTIF('Sprint W2'!$C$4:$C$8,$A47)*4+COUNTIF('Sprint W2'!$D$4:$D$8,$A47)*3+COUNTIF('Sprint W2'!$E$4:$E$8,$A47)*2+COUNTIF('Sprint W2'!$F$4:$F$8,$A47)*1)</f>
        <v>0</v>
      </c>
      <c r="E47" s="15">
        <f>IF($A47="",0,COUNTIF('Sprint W3'!$B$4:$B$8,$A47)*5+COUNTIF('Sprint W3'!$C$4:$C$8,$A47)*4+COUNTIF('Sprint W3'!$D$4:$D$8,$A47)*3+COUNTIF('Sprint W3'!$E$4:$E$8,$A47)*2+COUNTIF('Sprint W3'!$F$4:$F$8,$A47)*1)</f>
        <v>0</v>
      </c>
      <c r="F47" s="15">
        <f>IF($A47="",0,COUNTIF('Sprint W4'!$B$4:$B$8,$A47)*5+COUNTIF('Sprint W4'!$C$4:$C$8,$A47)*4+COUNTIF('Sprint W4'!$D$4:$D$8,$A47)*3+COUNTIF('Sprint W4'!$E$4:$E$8,$A47)*2+COUNTIF('Sprint W4'!$F$4:$F$8,$A47)*1)</f>
        <v>0</v>
      </c>
      <c r="G47" s="15">
        <f>IF($A47="",0,COUNTIF('Sprint W5'!$B$4:$B$8,$A47)*5+COUNTIF('Sprint W5'!$C$4:$C$8,$A47)*4+COUNTIF('Sprint W5'!$D$4:$D$8,$A47)*3+COUNTIF('Sprint W5'!$E$4:$E$8,$A47)*2+COUNTIF('Sprint W5'!$F$4:$F$8,$A47)*1)</f>
        <v>0</v>
      </c>
      <c r="H47" s="25" t="str">
        <f t="shared" si="2"/>
        <v/>
      </c>
      <c r="I47" s="26" t="str">
        <f t="shared" si="3"/>
        <v/>
      </c>
      <c r="AA47" t="str">
        <f>'Sprint W2'!C8</f>
        <v>Florijn van der Vliet</v>
      </c>
      <c r="AB47">
        <f>IF(AA47="",0,IF(COUNTIF($AA$1:AA47,AA47)=1,1,0))</f>
        <v>0</v>
      </c>
      <c r="AC47" t="str">
        <f>IF(AB47=1,COUNTIF($AB$1:AB47,1),"")</f>
        <v/>
      </c>
    </row>
    <row r="48" spans="1:29" x14ac:dyDescent="0.25">
      <c r="A48" s="13" t="str">
        <f>IFERROR(INDEX($AA$1:$AA$125,MATCH(45,$AC$1:$AC$125,0)),"")</f>
        <v/>
      </c>
      <c r="B48" s="33"/>
      <c r="C48" s="15">
        <f>IF($A48="",0,COUNTIF('Sprint W1'!$B$4:$B$8,$A48)*5+COUNTIF('Sprint W1'!$C$4:$C$8,$A48)*4+COUNTIF('Sprint W1'!$D$4:$D$8,$A48)*3+COUNTIF('Sprint W1'!$E$4:$E$8,$A48)*2+COUNTIF('Sprint W1'!$F$4:$F$8,$A48)*1)</f>
        <v>0</v>
      </c>
      <c r="D48" s="15">
        <f>IF($A48="",0,COUNTIF('Sprint W2'!$B$4:$B$8,$A48)*5+COUNTIF('Sprint W2'!$C$4:$C$8,$A48)*4+COUNTIF('Sprint W2'!$D$4:$D$8,$A48)*3+COUNTIF('Sprint W2'!$E$4:$E$8,$A48)*2+COUNTIF('Sprint W2'!$F$4:$F$8,$A48)*1)</f>
        <v>0</v>
      </c>
      <c r="E48" s="15">
        <f>IF($A48="",0,COUNTIF('Sprint W3'!$B$4:$B$8,$A48)*5+COUNTIF('Sprint W3'!$C$4:$C$8,$A48)*4+COUNTIF('Sprint W3'!$D$4:$D$8,$A48)*3+COUNTIF('Sprint W3'!$E$4:$E$8,$A48)*2+COUNTIF('Sprint W3'!$F$4:$F$8,$A48)*1)</f>
        <v>0</v>
      </c>
      <c r="F48" s="15">
        <f>IF($A48="",0,COUNTIF('Sprint W4'!$B$4:$B$8,$A48)*5+COUNTIF('Sprint W4'!$C$4:$C$8,$A48)*4+COUNTIF('Sprint W4'!$D$4:$D$8,$A48)*3+COUNTIF('Sprint W4'!$E$4:$E$8,$A48)*2+COUNTIF('Sprint W4'!$F$4:$F$8,$A48)*1)</f>
        <v>0</v>
      </c>
      <c r="G48" s="15">
        <f>IF($A48="",0,COUNTIF('Sprint W5'!$B$4:$B$8,$A48)*5+COUNTIF('Sprint W5'!$C$4:$C$8,$A48)*4+COUNTIF('Sprint W5'!$D$4:$D$8,$A48)*3+COUNTIF('Sprint W5'!$E$4:$E$8,$A48)*2+COUNTIF('Sprint W5'!$F$4:$F$8,$A48)*1)</f>
        <v>0</v>
      </c>
      <c r="H48" s="25" t="str">
        <f t="shared" si="2"/>
        <v/>
      </c>
      <c r="I48" s="26" t="str">
        <f t="shared" si="3"/>
        <v/>
      </c>
      <c r="AA48" t="str">
        <f>'Sprint W2'!D8</f>
        <v>Niels Immerzeel</v>
      </c>
      <c r="AB48">
        <f>IF(AA48="",0,IF(COUNTIF($AA$1:AA48,AA48)=1,1,0))</f>
        <v>0</v>
      </c>
      <c r="AC48" t="str">
        <f>IF(AB48=1,COUNTIF($AB$1:AB48,1),"")</f>
        <v/>
      </c>
    </row>
    <row r="49" spans="1:29" x14ac:dyDescent="0.25">
      <c r="A49" s="13" t="str">
        <f>IFERROR(INDEX($AA$1:$AA$125,MATCH(46,$AC$1:$AC$125,0)),"")</f>
        <v/>
      </c>
      <c r="B49" s="33"/>
      <c r="C49" s="15">
        <f>IF($A49="",0,COUNTIF('Sprint W1'!$B$4:$B$8,$A49)*5+COUNTIF('Sprint W1'!$C$4:$C$8,$A49)*4+COUNTIF('Sprint W1'!$D$4:$D$8,$A49)*3+COUNTIF('Sprint W1'!$E$4:$E$8,$A49)*2+COUNTIF('Sprint W1'!$F$4:$F$8,$A49)*1)</f>
        <v>0</v>
      </c>
      <c r="D49" s="15">
        <f>IF($A49="",0,COUNTIF('Sprint W2'!$B$4:$B$8,$A49)*5+COUNTIF('Sprint W2'!$C$4:$C$8,$A49)*4+COUNTIF('Sprint W2'!$D$4:$D$8,$A49)*3+COUNTIF('Sprint W2'!$E$4:$E$8,$A49)*2+COUNTIF('Sprint W2'!$F$4:$F$8,$A49)*1)</f>
        <v>0</v>
      </c>
      <c r="E49" s="15">
        <f>IF($A49="",0,COUNTIF('Sprint W3'!$B$4:$B$8,$A49)*5+COUNTIF('Sprint W3'!$C$4:$C$8,$A49)*4+COUNTIF('Sprint W3'!$D$4:$D$8,$A49)*3+COUNTIF('Sprint W3'!$E$4:$E$8,$A49)*2+COUNTIF('Sprint W3'!$F$4:$F$8,$A49)*1)</f>
        <v>0</v>
      </c>
      <c r="F49" s="15">
        <f>IF($A49="",0,COUNTIF('Sprint W4'!$B$4:$B$8,$A49)*5+COUNTIF('Sprint W4'!$C$4:$C$8,$A49)*4+COUNTIF('Sprint W4'!$D$4:$D$8,$A49)*3+COUNTIF('Sprint W4'!$E$4:$E$8,$A49)*2+COUNTIF('Sprint W4'!$F$4:$F$8,$A49)*1)</f>
        <v>0</v>
      </c>
      <c r="G49" s="15">
        <f>IF($A49="",0,COUNTIF('Sprint W5'!$B$4:$B$8,$A49)*5+COUNTIF('Sprint W5'!$C$4:$C$8,$A49)*4+COUNTIF('Sprint W5'!$D$4:$D$8,$A49)*3+COUNTIF('Sprint W5'!$E$4:$E$8,$A49)*2+COUNTIF('Sprint W5'!$F$4:$F$8,$A49)*1)</f>
        <v>0</v>
      </c>
      <c r="H49" s="25" t="str">
        <f t="shared" si="2"/>
        <v/>
      </c>
      <c r="I49" s="26" t="str">
        <f t="shared" si="3"/>
        <v/>
      </c>
      <c r="AA49" t="str">
        <f>'Sprint W2'!E8</f>
        <v>Lars de Weert</v>
      </c>
      <c r="AB49">
        <f>IF(AA49="",0,IF(COUNTIF($AA$1:AA49,AA49)=1,1,0))</f>
        <v>0</v>
      </c>
      <c r="AC49" t="str">
        <f>IF(AB49=1,COUNTIF($AB$1:AB49,1),"")</f>
        <v/>
      </c>
    </row>
    <row r="50" spans="1:29" x14ac:dyDescent="0.25">
      <c r="A50" s="13" t="str">
        <f>IFERROR(INDEX($AA$1:$AA$125,MATCH(47,$AC$1:$AC$125,0)),"")</f>
        <v/>
      </c>
      <c r="B50" s="33"/>
      <c r="C50" s="15">
        <f>IF($A50="",0,COUNTIF('Sprint W1'!$B$4:$B$8,$A50)*5+COUNTIF('Sprint W1'!$C$4:$C$8,$A50)*4+COUNTIF('Sprint W1'!$D$4:$D$8,$A50)*3+COUNTIF('Sprint W1'!$E$4:$E$8,$A50)*2+COUNTIF('Sprint W1'!$F$4:$F$8,$A50)*1)</f>
        <v>0</v>
      </c>
      <c r="D50" s="15">
        <f>IF($A50="",0,COUNTIF('Sprint W2'!$B$4:$B$8,$A50)*5+COUNTIF('Sprint W2'!$C$4:$C$8,$A50)*4+COUNTIF('Sprint W2'!$D$4:$D$8,$A50)*3+COUNTIF('Sprint W2'!$E$4:$E$8,$A50)*2+COUNTIF('Sprint W2'!$F$4:$F$8,$A50)*1)</f>
        <v>0</v>
      </c>
      <c r="E50" s="15">
        <f>IF($A50="",0,COUNTIF('Sprint W3'!$B$4:$B$8,$A50)*5+COUNTIF('Sprint W3'!$C$4:$C$8,$A50)*4+COUNTIF('Sprint W3'!$D$4:$D$8,$A50)*3+COUNTIF('Sprint W3'!$E$4:$E$8,$A50)*2+COUNTIF('Sprint W3'!$F$4:$F$8,$A50)*1)</f>
        <v>0</v>
      </c>
      <c r="F50" s="15">
        <f>IF($A50="",0,COUNTIF('Sprint W4'!$B$4:$B$8,$A50)*5+COUNTIF('Sprint W4'!$C$4:$C$8,$A50)*4+COUNTIF('Sprint W4'!$D$4:$D$8,$A50)*3+COUNTIF('Sprint W4'!$E$4:$E$8,$A50)*2+COUNTIF('Sprint W4'!$F$4:$F$8,$A50)*1)</f>
        <v>0</v>
      </c>
      <c r="G50" s="15">
        <f>IF($A50="",0,COUNTIF('Sprint W5'!$B$4:$B$8,$A50)*5+COUNTIF('Sprint W5'!$C$4:$C$8,$A50)*4+COUNTIF('Sprint W5'!$D$4:$D$8,$A50)*3+COUNTIF('Sprint W5'!$E$4:$E$8,$A50)*2+COUNTIF('Sprint W5'!$F$4:$F$8,$A50)*1)</f>
        <v>0</v>
      </c>
      <c r="H50" s="25" t="str">
        <f t="shared" si="2"/>
        <v/>
      </c>
      <c r="I50" s="26" t="str">
        <f t="shared" si="3"/>
        <v/>
      </c>
      <c r="AA50" t="str">
        <f>'Sprint W2'!F8</f>
        <v>Martijn Veling</v>
      </c>
      <c r="AB50">
        <f>IF(AA50="",0,IF(COUNTIF($AA$1:AA50,AA50)=1,1,0))</f>
        <v>0</v>
      </c>
      <c r="AC50" t="str">
        <f>IF(AB50=1,COUNTIF($AB$1:AB50,1),"")</f>
        <v/>
      </c>
    </row>
    <row r="51" spans="1:29" x14ac:dyDescent="0.25">
      <c r="A51" s="13" t="str">
        <f>IFERROR(INDEX($AA$1:$AA$125,MATCH(48,$AC$1:$AC$125,0)),"")</f>
        <v/>
      </c>
      <c r="B51" s="33"/>
      <c r="C51" s="15">
        <f>IF($A51="",0,COUNTIF('Sprint W1'!$B$4:$B$8,$A51)*5+COUNTIF('Sprint W1'!$C$4:$C$8,$A51)*4+COUNTIF('Sprint W1'!$D$4:$D$8,$A51)*3+COUNTIF('Sprint W1'!$E$4:$E$8,$A51)*2+COUNTIF('Sprint W1'!$F$4:$F$8,$A51)*1)</f>
        <v>0</v>
      </c>
      <c r="D51" s="15">
        <f>IF($A51="",0,COUNTIF('Sprint W2'!$B$4:$B$8,$A51)*5+COUNTIF('Sprint W2'!$C$4:$C$8,$A51)*4+COUNTIF('Sprint W2'!$D$4:$D$8,$A51)*3+COUNTIF('Sprint W2'!$E$4:$E$8,$A51)*2+COUNTIF('Sprint W2'!$F$4:$F$8,$A51)*1)</f>
        <v>0</v>
      </c>
      <c r="E51" s="15">
        <f>IF($A51="",0,COUNTIF('Sprint W3'!$B$4:$B$8,$A51)*5+COUNTIF('Sprint W3'!$C$4:$C$8,$A51)*4+COUNTIF('Sprint W3'!$D$4:$D$8,$A51)*3+COUNTIF('Sprint W3'!$E$4:$E$8,$A51)*2+COUNTIF('Sprint W3'!$F$4:$F$8,$A51)*1)</f>
        <v>0</v>
      </c>
      <c r="F51" s="15">
        <f>IF($A51="",0,COUNTIF('Sprint W4'!$B$4:$B$8,$A51)*5+COUNTIF('Sprint W4'!$C$4:$C$8,$A51)*4+COUNTIF('Sprint W4'!$D$4:$D$8,$A51)*3+COUNTIF('Sprint W4'!$E$4:$E$8,$A51)*2+COUNTIF('Sprint W4'!$F$4:$F$8,$A51)*1)</f>
        <v>0</v>
      </c>
      <c r="G51" s="15">
        <f>IF($A51="",0,COUNTIF('Sprint W5'!$B$4:$B$8,$A51)*5+COUNTIF('Sprint W5'!$C$4:$C$8,$A51)*4+COUNTIF('Sprint W5'!$D$4:$D$8,$A51)*3+COUNTIF('Sprint W5'!$E$4:$E$8,$A51)*2+COUNTIF('Sprint W5'!$F$4:$F$8,$A51)*1)</f>
        <v>0</v>
      </c>
      <c r="H51" s="25" t="str">
        <f t="shared" si="2"/>
        <v/>
      </c>
      <c r="I51" s="26" t="str">
        <f t="shared" si="3"/>
        <v/>
      </c>
      <c r="AA51" t="str">
        <f>'Sprint W3'!B4</f>
        <v>Lennart Nelisse</v>
      </c>
      <c r="AB51">
        <f>IF(AA51="",0,IF(COUNTIF($AA$1:AA51,AA51)=1,1,0))</f>
        <v>1</v>
      </c>
      <c r="AC51">
        <f>IF(AB51=1,COUNTIF($AB$1:AB51,1),"")</f>
        <v>12</v>
      </c>
    </row>
    <row r="52" spans="1:29" x14ac:dyDescent="0.25">
      <c r="A52" s="13" t="str">
        <f>IFERROR(INDEX($AA$1:$AA$125,MATCH(49,$AC$1:$AC$125,0)),"")</f>
        <v/>
      </c>
      <c r="B52" s="33"/>
      <c r="C52" s="15">
        <f>IF($A52="",0,COUNTIF('Sprint W1'!$B$4:$B$8,$A52)*5+COUNTIF('Sprint W1'!$C$4:$C$8,$A52)*4+COUNTIF('Sprint W1'!$D$4:$D$8,$A52)*3+COUNTIF('Sprint W1'!$E$4:$E$8,$A52)*2+COUNTIF('Sprint W1'!$F$4:$F$8,$A52)*1)</f>
        <v>0</v>
      </c>
      <c r="D52" s="15">
        <f>IF($A52="",0,COUNTIF('Sprint W2'!$B$4:$B$8,$A52)*5+COUNTIF('Sprint W2'!$C$4:$C$8,$A52)*4+COUNTIF('Sprint W2'!$D$4:$D$8,$A52)*3+COUNTIF('Sprint W2'!$E$4:$E$8,$A52)*2+COUNTIF('Sprint W2'!$F$4:$F$8,$A52)*1)</f>
        <v>0</v>
      </c>
      <c r="E52" s="15">
        <f>IF($A52="",0,COUNTIF('Sprint W3'!$B$4:$B$8,$A52)*5+COUNTIF('Sprint W3'!$C$4:$C$8,$A52)*4+COUNTIF('Sprint W3'!$D$4:$D$8,$A52)*3+COUNTIF('Sprint W3'!$E$4:$E$8,$A52)*2+COUNTIF('Sprint W3'!$F$4:$F$8,$A52)*1)</f>
        <v>0</v>
      </c>
      <c r="F52" s="15">
        <f>IF($A52="",0,COUNTIF('Sprint W4'!$B$4:$B$8,$A52)*5+COUNTIF('Sprint W4'!$C$4:$C$8,$A52)*4+COUNTIF('Sprint W4'!$D$4:$D$8,$A52)*3+COUNTIF('Sprint W4'!$E$4:$E$8,$A52)*2+COUNTIF('Sprint W4'!$F$4:$F$8,$A52)*1)</f>
        <v>0</v>
      </c>
      <c r="G52" s="15">
        <f>IF($A52="",0,COUNTIF('Sprint W5'!$B$4:$B$8,$A52)*5+COUNTIF('Sprint W5'!$C$4:$C$8,$A52)*4+COUNTIF('Sprint W5'!$D$4:$D$8,$A52)*3+COUNTIF('Sprint W5'!$E$4:$E$8,$A52)*2+COUNTIF('Sprint W5'!$F$4:$F$8,$A52)*1)</f>
        <v>0</v>
      </c>
      <c r="H52" s="25" t="str">
        <f t="shared" si="2"/>
        <v/>
      </c>
      <c r="I52" s="26" t="str">
        <f t="shared" si="3"/>
        <v/>
      </c>
      <c r="AA52" t="str">
        <f>'Sprint W3'!C4</f>
        <v>Niels Immerzeel</v>
      </c>
      <c r="AB52">
        <f>IF(AA52="",0,IF(COUNTIF($AA$1:AA52,AA52)=1,1,0))</f>
        <v>0</v>
      </c>
      <c r="AC52" t="str">
        <f>IF(AB52=1,COUNTIF($AB$1:AB52,1),"")</f>
        <v/>
      </c>
    </row>
    <row r="53" spans="1:29" x14ac:dyDescent="0.25">
      <c r="A53" s="13" t="str">
        <f>IFERROR(INDEX($AA$1:$AA$125,MATCH(50,$AC$1:$AC$125,0)),"")</f>
        <v/>
      </c>
      <c r="B53" s="33"/>
      <c r="C53" s="15">
        <f>IF($A53="",0,COUNTIF('Sprint W1'!$B$4:$B$8,$A53)*5+COUNTIF('Sprint W1'!$C$4:$C$8,$A53)*4+COUNTIF('Sprint W1'!$D$4:$D$8,$A53)*3+COUNTIF('Sprint W1'!$E$4:$E$8,$A53)*2+COUNTIF('Sprint W1'!$F$4:$F$8,$A53)*1)</f>
        <v>0</v>
      </c>
      <c r="D53" s="15">
        <f>IF($A53="",0,COUNTIF('Sprint W2'!$B$4:$B$8,$A53)*5+COUNTIF('Sprint W2'!$C$4:$C$8,$A53)*4+COUNTIF('Sprint W2'!$D$4:$D$8,$A53)*3+COUNTIF('Sprint W2'!$E$4:$E$8,$A53)*2+COUNTIF('Sprint W2'!$F$4:$F$8,$A53)*1)</f>
        <v>0</v>
      </c>
      <c r="E53" s="15">
        <f>IF($A53="",0,COUNTIF('Sprint W3'!$B$4:$B$8,$A53)*5+COUNTIF('Sprint W3'!$C$4:$C$8,$A53)*4+COUNTIF('Sprint W3'!$D$4:$D$8,$A53)*3+COUNTIF('Sprint W3'!$E$4:$E$8,$A53)*2+COUNTIF('Sprint W3'!$F$4:$F$8,$A53)*1)</f>
        <v>0</v>
      </c>
      <c r="F53" s="15">
        <f>IF($A53="",0,COUNTIF('Sprint W4'!$B$4:$B$8,$A53)*5+COUNTIF('Sprint W4'!$C$4:$C$8,$A53)*4+COUNTIF('Sprint W4'!$D$4:$D$8,$A53)*3+COUNTIF('Sprint W4'!$E$4:$E$8,$A53)*2+COUNTIF('Sprint W4'!$F$4:$F$8,$A53)*1)</f>
        <v>0</v>
      </c>
      <c r="G53" s="15">
        <f>IF($A53="",0,COUNTIF('Sprint W5'!$B$4:$B$8,$A53)*5+COUNTIF('Sprint W5'!$C$4:$C$8,$A53)*4+COUNTIF('Sprint W5'!$D$4:$D$8,$A53)*3+COUNTIF('Sprint W5'!$E$4:$E$8,$A53)*2+COUNTIF('Sprint W5'!$F$4:$F$8,$A53)*1)</f>
        <v>0</v>
      </c>
      <c r="H53" s="25" t="str">
        <f t="shared" si="2"/>
        <v/>
      </c>
      <c r="I53" s="26" t="str">
        <f t="shared" si="3"/>
        <v/>
      </c>
      <c r="AA53" t="str">
        <f>'Sprint W3'!D4</f>
        <v>Laurens Dijkstra</v>
      </c>
      <c r="AB53">
        <f>IF(AA53="",0,IF(COUNTIF($AA$1:AA53,AA53)=1,1,0))</f>
        <v>1</v>
      </c>
      <c r="AC53">
        <f>IF(AB53=1,COUNTIF($AB$1:AB53,1),"")</f>
        <v>13</v>
      </c>
    </row>
    <row r="54" spans="1:29" x14ac:dyDescent="0.25">
      <c r="A54" s="13" t="str">
        <f>IFERROR(INDEX($AA$1:$AA$125,MATCH(51,$AC$1:$AC$125,0)),"")</f>
        <v/>
      </c>
      <c r="B54" s="33"/>
      <c r="C54" s="15">
        <f>IF($A54="",0,COUNTIF('Sprint W1'!$B$4:$B$8,$A54)*5+COUNTIF('Sprint W1'!$C$4:$C$8,$A54)*4+COUNTIF('Sprint W1'!$D$4:$D$8,$A54)*3+COUNTIF('Sprint W1'!$E$4:$E$8,$A54)*2+COUNTIF('Sprint W1'!$F$4:$F$8,$A54)*1)</f>
        <v>0</v>
      </c>
      <c r="D54" s="15">
        <f>IF($A54="",0,COUNTIF('Sprint W2'!$B$4:$B$8,$A54)*5+COUNTIF('Sprint W2'!$C$4:$C$8,$A54)*4+COUNTIF('Sprint W2'!$D$4:$D$8,$A54)*3+COUNTIF('Sprint W2'!$E$4:$E$8,$A54)*2+COUNTIF('Sprint W2'!$F$4:$F$8,$A54)*1)</f>
        <v>0</v>
      </c>
      <c r="E54" s="15">
        <f>IF($A54="",0,COUNTIF('Sprint W3'!$B$4:$B$8,$A54)*5+COUNTIF('Sprint W3'!$C$4:$C$8,$A54)*4+COUNTIF('Sprint W3'!$D$4:$D$8,$A54)*3+COUNTIF('Sprint W3'!$E$4:$E$8,$A54)*2+COUNTIF('Sprint W3'!$F$4:$F$8,$A54)*1)</f>
        <v>0</v>
      </c>
      <c r="F54" s="15">
        <f>IF($A54="",0,COUNTIF('Sprint W4'!$B$4:$B$8,$A54)*5+COUNTIF('Sprint W4'!$C$4:$C$8,$A54)*4+COUNTIF('Sprint W4'!$D$4:$D$8,$A54)*3+COUNTIF('Sprint W4'!$E$4:$E$8,$A54)*2+COUNTIF('Sprint W4'!$F$4:$F$8,$A54)*1)</f>
        <v>0</v>
      </c>
      <c r="G54" s="15">
        <f>IF($A54="",0,COUNTIF('Sprint W5'!$B$4:$B$8,$A54)*5+COUNTIF('Sprint W5'!$C$4:$C$8,$A54)*4+COUNTIF('Sprint W5'!$D$4:$D$8,$A54)*3+COUNTIF('Sprint W5'!$E$4:$E$8,$A54)*2+COUNTIF('Sprint W5'!$F$4:$F$8,$A54)*1)</f>
        <v>0</v>
      </c>
      <c r="H54" s="25" t="str">
        <f t="shared" si="2"/>
        <v/>
      </c>
      <c r="I54" s="26" t="str">
        <f t="shared" si="3"/>
        <v/>
      </c>
      <c r="AA54" t="str">
        <f>'Sprint W3'!E4</f>
        <v>Melvin Drost</v>
      </c>
      <c r="AB54">
        <f>IF(AA54="",0,IF(COUNTIF($AA$1:AA54,AA54)=1,1,0))</f>
        <v>1</v>
      </c>
      <c r="AC54">
        <f>IF(AB54=1,COUNTIF($AB$1:AB54,1),"")</f>
        <v>14</v>
      </c>
    </row>
    <row r="55" spans="1:29" x14ac:dyDescent="0.25">
      <c r="A55" s="13" t="str">
        <f>IFERROR(INDEX($AA$1:$AA$125,MATCH(52,$AC$1:$AC$125,0)),"")</f>
        <v/>
      </c>
      <c r="B55" s="33"/>
      <c r="C55" s="15">
        <f>IF($A55="",0,COUNTIF('Sprint W1'!$B$4:$B$8,$A55)*5+COUNTIF('Sprint W1'!$C$4:$C$8,$A55)*4+COUNTIF('Sprint W1'!$D$4:$D$8,$A55)*3+COUNTIF('Sprint W1'!$E$4:$E$8,$A55)*2+COUNTIF('Sprint W1'!$F$4:$F$8,$A55)*1)</f>
        <v>0</v>
      </c>
      <c r="D55" s="15">
        <f>IF($A55="",0,COUNTIF('Sprint W2'!$B$4:$B$8,$A55)*5+COUNTIF('Sprint W2'!$C$4:$C$8,$A55)*4+COUNTIF('Sprint W2'!$D$4:$D$8,$A55)*3+COUNTIF('Sprint W2'!$E$4:$E$8,$A55)*2+COUNTIF('Sprint W2'!$F$4:$F$8,$A55)*1)</f>
        <v>0</v>
      </c>
      <c r="E55" s="15">
        <f>IF($A55="",0,COUNTIF('Sprint W3'!$B$4:$B$8,$A55)*5+COUNTIF('Sprint W3'!$C$4:$C$8,$A55)*4+COUNTIF('Sprint W3'!$D$4:$D$8,$A55)*3+COUNTIF('Sprint W3'!$E$4:$E$8,$A55)*2+COUNTIF('Sprint W3'!$F$4:$F$8,$A55)*1)</f>
        <v>0</v>
      </c>
      <c r="F55" s="15">
        <f>IF($A55="",0,COUNTIF('Sprint W4'!$B$4:$B$8,$A55)*5+COUNTIF('Sprint W4'!$C$4:$C$8,$A55)*4+COUNTIF('Sprint W4'!$D$4:$D$8,$A55)*3+COUNTIF('Sprint W4'!$E$4:$E$8,$A55)*2+COUNTIF('Sprint W4'!$F$4:$F$8,$A55)*1)</f>
        <v>0</v>
      </c>
      <c r="G55" s="15">
        <f>IF($A55="",0,COUNTIF('Sprint W5'!$B$4:$B$8,$A55)*5+COUNTIF('Sprint W5'!$C$4:$C$8,$A55)*4+COUNTIF('Sprint W5'!$D$4:$D$8,$A55)*3+COUNTIF('Sprint W5'!$E$4:$E$8,$A55)*2+COUNTIF('Sprint W5'!$F$4:$F$8,$A55)*1)</f>
        <v>0</v>
      </c>
      <c r="H55" s="25" t="str">
        <f t="shared" si="2"/>
        <v/>
      </c>
      <c r="I55" s="26" t="str">
        <f t="shared" si="3"/>
        <v/>
      </c>
      <c r="AA55" t="str">
        <f>'Sprint W3'!F4</f>
        <v>Daan Switters</v>
      </c>
      <c r="AB55">
        <f>IF(AA55="",0,IF(COUNTIF($AA$1:AA55,AA55)=1,1,0))</f>
        <v>0</v>
      </c>
      <c r="AC55" t="str">
        <f>IF(AB55=1,COUNTIF($AB$1:AB55,1),"")</f>
        <v/>
      </c>
    </row>
    <row r="56" spans="1:29" x14ac:dyDescent="0.25">
      <c r="A56" s="13" t="str">
        <f>IFERROR(INDEX($AA$1:$AA$125,MATCH(53,$AC$1:$AC$125,0)),"")</f>
        <v/>
      </c>
      <c r="B56" s="33"/>
      <c r="C56" s="15">
        <f>IF($A56="",0,COUNTIF('Sprint W1'!$B$4:$B$8,$A56)*5+COUNTIF('Sprint W1'!$C$4:$C$8,$A56)*4+COUNTIF('Sprint W1'!$D$4:$D$8,$A56)*3+COUNTIF('Sprint W1'!$E$4:$E$8,$A56)*2+COUNTIF('Sprint W1'!$F$4:$F$8,$A56)*1)</f>
        <v>0</v>
      </c>
      <c r="D56" s="15">
        <f>IF($A56="",0,COUNTIF('Sprint W2'!$B$4:$B$8,$A56)*5+COUNTIF('Sprint W2'!$C$4:$C$8,$A56)*4+COUNTIF('Sprint W2'!$D$4:$D$8,$A56)*3+COUNTIF('Sprint W2'!$E$4:$E$8,$A56)*2+COUNTIF('Sprint W2'!$F$4:$F$8,$A56)*1)</f>
        <v>0</v>
      </c>
      <c r="E56" s="15">
        <f>IF($A56="",0,COUNTIF('Sprint W3'!$B$4:$B$8,$A56)*5+COUNTIF('Sprint W3'!$C$4:$C$8,$A56)*4+COUNTIF('Sprint W3'!$D$4:$D$8,$A56)*3+COUNTIF('Sprint W3'!$E$4:$E$8,$A56)*2+COUNTIF('Sprint W3'!$F$4:$F$8,$A56)*1)</f>
        <v>0</v>
      </c>
      <c r="F56" s="15">
        <f>IF($A56="",0,COUNTIF('Sprint W4'!$B$4:$B$8,$A56)*5+COUNTIF('Sprint W4'!$C$4:$C$8,$A56)*4+COUNTIF('Sprint W4'!$D$4:$D$8,$A56)*3+COUNTIF('Sprint W4'!$E$4:$E$8,$A56)*2+COUNTIF('Sprint W4'!$F$4:$F$8,$A56)*1)</f>
        <v>0</v>
      </c>
      <c r="G56" s="15">
        <f>IF($A56="",0,COUNTIF('Sprint W5'!$B$4:$B$8,$A56)*5+COUNTIF('Sprint W5'!$C$4:$C$8,$A56)*4+COUNTIF('Sprint W5'!$D$4:$D$8,$A56)*3+COUNTIF('Sprint W5'!$E$4:$E$8,$A56)*2+COUNTIF('Sprint W5'!$F$4:$F$8,$A56)*1)</f>
        <v>0</v>
      </c>
      <c r="H56" s="25" t="str">
        <f t="shared" si="2"/>
        <v/>
      </c>
      <c r="I56" s="26" t="str">
        <f t="shared" si="3"/>
        <v/>
      </c>
      <c r="AA56" t="str">
        <f>'Sprint W3'!B5</f>
        <v>Lennart Nelisse</v>
      </c>
      <c r="AB56">
        <f>IF(AA56="",0,IF(COUNTIF($AA$1:AA56,AA56)=1,1,0))</f>
        <v>0</v>
      </c>
      <c r="AC56" t="str">
        <f>IF(AB56=1,COUNTIF($AB$1:AB56,1),"")</f>
        <v/>
      </c>
    </row>
    <row r="57" spans="1:29" x14ac:dyDescent="0.25">
      <c r="A57" s="13" t="str">
        <f>IFERROR(INDEX($AA$1:$AA$125,MATCH(54,$AC$1:$AC$125,0)),"")</f>
        <v/>
      </c>
      <c r="B57" s="33"/>
      <c r="C57" s="15">
        <f>IF($A57="",0,COUNTIF('Sprint W1'!$B$4:$B$8,$A57)*5+COUNTIF('Sprint W1'!$C$4:$C$8,$A57)*4+COUNTIF('Sprint W1'!$D$4:$D$8,$A57)*3+COUNTIF('Sprint W1'!$E$4:$E$8,$A57)*2+COUNTIF('Sprint W1'!$F$4:$F$8,$A57)*1)</f>
        <v>0</v>
      </c>
      <c r="D57" s="15">
        <f>IF($A57="",0,COUNTIF('Sprint W2'!$B$4:$B$8,$A57)*5+COUNTIF('Sprint W2'!$C$4:$C$8,$A57)*4+COUNTIF('Sprint W2'!$D$4:$D$8,$A57)*3+COUNTIF('Sprint W2'!$E$4:$E$8,$A57)*2+COUNTIF('Sprint W2'!$F$4:$F$8,$A57)*1)</f>
        <v>0</v>
      </c>
      <c r="E57" s="15">
        <f>IF($A57="",0,COUNTIF('Sprint W3'!$B$4:$B$8,$A57)*5+COUNTIF('Sprint W3'!$C$4:$C$8,$A57)*4+COUNTIF('Sprint W3'!$D$4:$D$8,$A57)*3+COUNTIF('Sprint W3'!$E$4:$E$8,$A57)*2+COUNTIF('Sprint W3'!$F$4:$F$8,$A57)*1)</f>
        <v>0</v>
      </c>
      <c r="F57" s="15">
        <f>IF($A57="",0,COUNTIF('Sprint W4'!$B$4:$B$8,$A57)*5+COUNTIF('Sprint W4'!$C$4:$C$8,$A57)*4+COUNTIF('Sprint W4'!$D$4:$D$8,$A57)*3+COUNTIF('Sprint W4'!$E$4:$E$8,$A57)*2+COUNTIF('Sprint W4'!$F$4:$F$8,$A57)*1)</f>
        <v>0</v>
      </c>
      <c r="G57" s="15">
        <f>IF($A57="",0,COUNTIF('Sprint W5'!$B$4:$B$8,$A57)*5+COUNTIF('Sprint W5'!$C$4:$C$8,$A57)*4+COUNTIF('Sprint W5'!$D$4:$D$8,$A57)*3+COUNTIF('Sprint W5'!$E$4:$E$8,$A57)*2+COUNTIF('Sprint W5'!$F$4:$F$8,$A57)*1)</f>
        <v>0</v>
      </c>
      <c r="H57" s="25" t="str">
        <f t="shared" si="2"/>
        <v/>
      </c>
      <c r="I57" s="26" t="str">
        <f t="shared" si="3"/>
        <v/>
      </c>
      <c r="AA57" t="str">
        <f>'Sprint W3'!C5</f>
        <v>Melvin Drost</v>
      </c>
      <c r="AB57">
        <f>IF(AA57="",0,IF(COUNTIF($AA$1:AA57,AA57)=1,1,0))</f>
        <v>0</v>
      </c>
      <c r="AC57" t="str">
        <f>IF(AB57=1,COUNTIF($AB$1:AB57,1),"")</f>
        <v/>
      </c>
    </row>
    <row r="58" spans="1:29" x14ac:dyDescent="0.25">
      <c r="A58" s="13" t="str">
        <f>IFERROR(INDEX($AA$1:$AA$125,MATCH(55,$AC$1:$AC$125,0)),"")</f>
        <v/>
      </c>
      <c r="B58" s="33"/>
      <c r="C58" s="15">
        <f>IF($A58="",0,COUNTIF('Sprint W1'!$B$4:$B$8,$A58)*5+COUNTIF('Sprint W1'!$C$4:$C$8,$A58)*4+COUNTIF('Sprint W1'!$D$4:$D$8,$A58)*3+COUNTIF('Sprint W1'!$E$4:$E$8,$A58)*2+COUNTIF('Sprint W1'!$F$4:$F$8,$A58)*1)</f>
        <v>0</v>
      </c>
      <c r="D58" s="15">
        <f>IF($A58="",0,COUNTIF('Sprint W2'!$B$4:$B$8,$A58)*5+COUNTIF('Sprint W2'!$C$4:$C$8,$A58)*4+COUNTIF('Sprint W2'!$D$4:$D$8,$A58)*3+COUNTIF('Sprint W2'!$E$4:$E$8,$A58)*2+COUNTIF('Sprint W2'!$F$4:$F$8,$A58)*1)</f>
        <v>0</v>
      </c>
      <c r="E58" s="15">
        <f>IF($A58="",0,COUNTIF('Sprint W3'!$B$4:$B$8,$A58)*5+COUNTIF('Sprint W3'!$C$4:$C$8,$A58)*4+COUNTIF('Sprint W3'!$D$4:$D$8,$A58)*3+COUNTIF('Sprint W3'!$E$4:$E$8,$A58)*2+COUNTIF('Sprint W3'!$F$4:$F$8,$A58)*1)</f>
        <v>0</v>
      </c>
      <c r="F58" s="15">
        <f>IF($A58="",0,COUNTIF('Sprint W4'!$B$4:$B$8,$A58)*5+COUNTIF('Sprint W4'!$C$4:$C$8,$A58)*4+COUNTIF('Sprint W4'!$D$4:$D$8,$A58)*3+COUNTIF('Sprint W4'!$E$4:$E$8,$A58)*2+COUNTIF('Sprint W4'!$F$4:$F$8,$A58)*1)</f>
        <v>0</v>
      </c>
      <c r="G58" s="15">
        <f>IF($A58="",0,COUNTIF('Sprint W5'!$B$4:$B$8,$A58)*5+COUNTIF('Sprint W5'!$C$4:$C$8,$A58)*4+COUNTIF('Sprint W5'!$D$4:$D$8,$A58)*3+COUNTIF('Sprint W5'!$E$4:$E$8,$A58)*2+COUNTIF('Sprint W5'!$F$4:$F$8,$A58)*1)</f>
        <v>0</v>
      </c>
      <c r="H58" s="25" t="str">
        <f t="shared" si="2"/>
        <v/>
      </c>
      <c r="I58" s="26" t="str">
        <f t="shared" si="3"/>
        <v/>
      </c>
      <c r="AA58" t="str">
        <f>'Sprint W3'!D5</f>
        <v>Ruben Ubbels</v>
      </c>
      <c r="AB58">
        <f>IF(AA58="",0,IF(COUNTIF($AA$1:AA58,AA58)=1,1,0))</f>
        <v>1</v>
      </c>
      <c r="AC58">
        <f>IF(AB58=1,COUNTIF($AB$1:AB58,1),"")</f>
        <v>15</v>
      </c>
    </row>
    <row r="59" spans="1:29" x14ac:dyDescent="0.25">
      <c r="A59" s="13" t="str">
        <f>IFERROR(INDEX($AA$1:$AA$125,MATCH(56,$AC$1:$AC$125,0)),"")</f>
        <v/>
      </c>
      <c r="B59" s="33"/>
      <c r="C59" s="15">
        <f>IF($A59="",0,COUNTIF('Sprint W1'!$B$4:$B$8,$A59)*5+COUNTIF('Sprint W1'!$C$4:$C$8,$A59)*4+COUNTIF('Sprint W1'!$D$4:$D$8,$A59)*3+COUNTIF('Sprint W1'!$E$4:$E$8,$A59)*2+COUNTIF('Sprint W1'!$F$4:$F$8,$A59)*1)</f>
        <v>0</v>
      </c>
      <c r="D59" s="15">
        <f>IF($A59="",0,COUNTIF('Sprint W2'!$B$4:$B$8,$A59)*5+COUNTIF('Sprint W2'!$C$4:$C$8,$A59)*4+COUNTIF('Sprint W2'!$D$4:$D$8,$A59)*3+COUNTIF('Sprint W2'!$E$4:$E$8,$A59)*2+COUNTIF('Sprint W2'!$F$4:$F$8,$A59)*1)</f>
        <v>0</v>
      </c>
      <c r="E59" s="15">
        <f>IF($A59="",0,COUNTIF('Sprint W3'!$B$4:$B$8,$A59)*5+COUNTIF('Sprint W3'!$C$4:$C$8,$A59)*4+COUNTIF('Sprint W3'!$D$4:$D$8,$A59)*3+COUNTIF('Sprint W3'!$E$4:$E$8,$A59)*2+COUNTIF('Sprint W3'!$F$4:$F$8,$A59)*1)</f>
        <v>0</v>
      </c>
      <c r="F59" s="15">
        <f>IF($A59="",0,COUNTIF('Sprint W4'!$B$4:$B$8,$A59)*5+COUNTIF('Sprint W4'!$C$4:$C$8,$A59)*4+COUNTIF('Sprint W4'!$D$4:$D$8,$A59)*3+COUNTIF('Sprint W4'!$E$4:$E$8,$A59)*2+COUNTIF('Sprint W4'!$F$4:$F$8,$A59)*1)</f>
        <v>0</v>
      </c>
      <c r="G59" s="15">
        <f>IF($A59="",0,COUNTIF('Sprint W5'!$B$4:$B$8,$A59)*5+COUNTIF('Sprint W5'!$C$4:$C$8,$A59)*4+COUNTIF('Sprint W5'!$D$4:$D$8,$A59)*3+COUNTIF('Sprint W5'!$E$4:$E$8,$A59)*2+COUNTIF('Sprint W5'!$F$4:$F$8,$A59)*1)</f>
        <v>0</v>
      </c>
      <c r="H59" s="25" t="str">
        <f t="shared" si="2"/>
        <v/>
      </c>
      <c r="I59" s="26" t="str">
        <f t="shared" si="3"/>
        <v/>
      </c>
      <c r="AA59" t="str">
        <f>'Sprint W3'!E5</f>
        <v>Daan Switters</v>
      </c>
      <c r="AB59">
        <f>IF(AA59="",0,IF(COUNTIF($AA$1:AA59,AA59)=1,1,0))</f>
        <v>0</v>
      </c>
      <c r="AC59" t="str">
        <f>IF(AB59=1,COUNTIF($AB$1:AB59,1),"")</f>
        <v/>
      </c>
    </row>
    <row r="60" spans="1:29" x14ac:dyDescent="0.25">
      <c r="A60" s="13" t="str">
        <f>IFERROR(INDEX($AA$1:$AA$125,MATCH(57,$AC$1:$AC$125,0)),"")</f>
        <v/>
      </c>
      <c r="B60" s="33"/>
      <c r="C60" s="15">
        <f>IF($A60="",0,COUNTIF('Sprint W1'!$B$4:$B$8,$A60)*5+COUNTIF('Sprint W1'!$C$4:$C$8,$A60)*4+COUNTIF('Sprint W1'!$D$4:$D$8,$A60)*3+COUNTIF('Sprint W1'!$E$4:$E$8,$A60)*2+COUNTIF('Sprint W1'!$F$4:$F$8,$A60)*1)</f>
        <v>0</v>
      </c>
      <c r="D60" s="15">
        <f>IF($A60="",0,COUNTIF('Sprint W2'!$B$4:$B$8,$A60)*5+COUNTIF('Sprint W2'!$C$4:$C$8,$A60)*4+COUNTIF('Sprint W2'!$D$4:$D$8,$A60)*3+COUNTIF('Sprint W2'!$E$4:$E$8,$A60)*2+COUNTIF('Sprint W2'!$F$4:$F$8,$A60)*1)</f>
        <v>0</v>
      </c>
      <c r="E60" s="15">
        <f>IF($A60="",0,COUNTIF('Sprint W3'!$B$4:$B$8,$A60)*5+COUNTIF('Sprint W3'!$C$4:$C$8,$A60)*4+COUNTIF('Sprint W3'!$D$4:$D$8,$A60)*3+COUNTIF('Sprint W3'!$E$4:$E$8,$A60)*2+COUNTIF('Sprint W3'!$F$4:$F$8,$A60)*1)</f>
        <v>0</v>
      </c>
      <c r="F60" s="15">
        <f>IF($A60="",0,COUNTIF('Sprint W4'!$B$4:$B$8,$A60)*5+COUNTIF('Sprint W4'!$C$4:$C$8,$A60)*4+COUNTIF('Sprint W4'!$D$4:$D$8,$A60)*3+COUNTIF('Sprint W4'!$E$4:$E$8,$A60)*2+COUNTIF('Sprint W4'!$F$4:$F$8,$A60)*1)</f>
        <v>0</v>
      </c>
      <c r="G60" s="15">
        <f>IF($A60="",0,COUNTIF('Sprint W5'!$B$4:$B$8,$A60)*5+COUNTIF('Sprint W5'!$C$4:$C$8,$A60)*4+COUNTIF('Sprint W5'!$D$4:$D$8,$A60)*3+COUNTIF('Sprint W5'!$E$4:$E$8,$A60)*2+COUNTIF('Sprint W5'!$F$4:$F$8,$A60)*1)</f>
        <v>0</v>
      </c>
      <c r="H60" s="25" t="str">
        <f t="shared" si="2"/>
        <v/>
      </c>
      <c r="I60" s="26" t="str">
        <f t="shared" si="3"/>
        <v/>
      </c>
      <c r="AA60" t="str">
        <f>'Sprint W3'!F5</f>
        <v>Koen Vinke</v>
      </c>
      <c r="AB60">
        <f>IF(AA60="",0,IF(COUNTIF($AA$1:AA60,AA60)=1,1,0))</f>
        <v>1</v>
      </c>
      <c r="AC60">
        <f>IF(AB60=1,COUNTIF($AB$1:AB60,1),"")</f>
        <v>16</v>
      </c>
    </row>
    <row r="61" spans="1:29" x14ac:dyDescent="0.25">
      <c r="A61" s="13" t="str">
        <f>IFERROR(INDEX($AA$1:$AA$125,MATCH(58,$AC$1:$AC$125,0)),"")</f>
        <v/>
      </c>
      <c r="B61" s="33"/>
      <c r="C61" s="15">
        <f>IF($A61="",0,COUNTIF('Sprint W1'!$B$4:$B$8,$A61)*5+COUNTIF('Sprint W1'!$C$4:$C$8,$A61)*4+COUNTIF('Sprint W1'!$D$4:$D$8,$A61)*3+COUNTIF('Sprint W1'!$E$4:$E$8,$A61)*2+COUNTIF('Sprint W1'!$F$4:$F$8,$A61)*1)</f>
        <v>0</v>
      </c>
      <c r="D61" s="15">
        <f>IF($A61="",0,COUNTIF('Sprint W2'!$B$4:$B$8,$A61)*5+COUNTIF('Sprint W2'!$C$4:$C$8,$A61)*4+COUNTIF('Sprint W2'!$D$4:$D$8,$A61)*3+COUNTIF('Sprint W2'!$E$4:$E$8,$A61)*2+COUNTIF('Sprint W2'!$F$4:$F$8,$A61)*1)</f>
        <v>0</v>
      </c>
      <c r="E61" s="15">
        <f>IF($A61="",0,COUNTIF('Sprint W3'!$B$4:$B$8,$A61)*5+COUNTIF('Sprint W3'!$C$4:$C$8,$A61)*4+COUNTIF('Sprint W3'!$D$4:$D$8,$A61)*3+COUNTIF('Sprint W3'!$E$4:$E$8,$A61)*2+COUNTIF('Sprint W3'!$F$4:$F$8,$A61)*1)</f>
        <v>0</v>
      </c>
      <c r="F61" s="15">
        <f>IF($A61="",0,COUNTIF('Sprint W4'!$B$4:$B$8,$A61)*5+COUNTIF('Sprint W4'!$C$4:$C$8,$A61)*4+COUNTIF('Sprint W4'!$D$4:$D$8,$A61)*3+COUNTIF('Sprint W4'!$E$4:$E$8,$A61)*2+COUNTIF('Sprint W4'!$F$4:$F$8,$A61)*1)</f>
        <v>0</v>
      </c>
      <c r="G61" s="15">
        <f>IF($A61="",0,COUNTIF('Sprint W5'!$B$4:$B$8,$A61)*5+COUNTIF('Sprint W5'!$C$4:$C$8,$A61)*4+COUNTIF('Sprint W5'!$D$4:$D$8,$A61)*3+COUNTIF('Sprint W5'!$E$4:$E$8,$A61)*2+COUNTIF('Sprint W5'!$F$4:$F$8,$A61)*1)</f>
        <v>0</v>
      </c>
      <c r="H61" s="25" t="str">
        <f t="shared" si="2"/>
        <v/>
      </c>
      <c r="I61" s="26" t="str">
        <f t="shared" si="3"/>
        <v/>
      </c>
      <c r="AA61" t="str">
        <f>'Sprint W3'!B6</f>
        <v>Koen Vinke</v>
      </c>
      <c r="AB61">
        <f>IF(AA61="",0,IF(COUNTIF($AA$1:AA61,AA61)=1,1,0))</f>
        <v>0</v>
      </c>
      <c r="AC61" t="str">
        <f>IF(AB61=1,COUNTIF($AB$1:AB61,1),"")</f>
        <v/>
      </c>
    </row>
    <row r="62" spans="1:29" x14ac:dyDescent="0.25">
      <c r="A62" s="13" t="str">
        <f>IFERROR(INDEX($AA$1:$AA$125,MATCH(59,$AC$1:$AC$125,0)),"")</f>
        <v/>
      </c>
      <c r="B62" s="33"/>
      <c r="C62" s="15">
        <f>IF($A62="",0,COUNTIF('Sprint W1'!$B$4:$B$8,$A62)*5+COUNTIF('Sprint W1'!$C$4:$C$8,$A62)*4+COUNTIF('Sprint W1'!$D$4:$D$8,$A62)*3+COUNTIF('Sprint W1'!$E$4:$E$8,$A62)*2+COUNTIF('Sprint W1'!$F$4:$F$8,$A62)*1)</f>
        <v>0</v>
      </c>
      <c r="D62" s="15">
        <f>IF($A62="",0,COUNTIF('Sprint W2'!$B$4:$B$8,$A62)*5+COUNTIF('Sprint W2'!$C$4:$C$8,$A62)*4+COUNTIF('Sprint W2'!$D$4:$D$8,$A62)*3+COUNTIF('Sprint W2'!$E$4:$E$8,$A62)*2+COUNTIF('Sprint W2'!$F$4:$F$8,$A62)*1)</f>
        <v>0</v>
      </c>
      <c r="E62" s="15">
        <f>IF($A62="",0,COUNTIF('Sprint W3'!$B$4:$B$8,$A62)*5+COUNTIF('Sprint W3'!$C$4:$C$8,$A62)*4+COUNTIF('Sprint W3'!$D$4:$D$8,$A62)*3+COUNTIF('Sprint W3'!$E$4:$E$8,$A62)*2+COUNTIF('Sprint W3'!$F$4:$F$8,$A62)*1)</f>
        <v>0</v>
      </c>
      <c r="F62" s="15">
        <f>IF($A62="",0,COUNTIF('Sprint W4'!$B$4:$B$8,$A62)*5+COUNTIF('Sprint W4'!$C$4:$C$8,$A62)*4+COUNTIF('Sprint W4'!$D$4:$D$8,$A62)*3+COUNTIF('Sprint W4'!$E$4:$E$8,$A62)*2+COUNTIF('Sprint W4'!$F$4:$F$8,$A62)*1)</f>
        <v>0</v>
      </c>
      <c r="G62" s="15">
        <f>IF($A62="",0,COUNTIF('Sprint W5'!$B$4:$B$8,$A62)*5+COUNTIF('Sprint W5'!$C$4:$C$8,$A62)*4+COUNTIF('Sprint W5'!$D$4:$D$8,$A62)*3+COUNTIF('Sprint W5'!$E$4:$E$8,$A62)*2+COUNTIF('Sprint W5'!$F$4:$F$8,$A62)*1)</f>
        <v>0</v>
      </c>
      <c r="H62" s="25" t="str">
        <f t="shared" si="2"/>
        <v/>
      </c>
      <c r="I62" s="26" t="str">
        <f t="shared" si="3"/>
        <v/>
      </c>
      <c r="AA62" t="str">
        <f>'Sprint W3'!C6</f>
        <v>Melvin Drost</v>
      </c>
      <c r="AB62">
        <f>IF(AA62="",0,IF(COUNTIF($AA$1:AA62,AA62)=1,1,0))</f>
        <v>0</v>
      </c>
      <c r="AC62" t="str">
        <f>IF(AB62=1,COUNTIF($AB$1:AB62,1),"")</f>
        <v/>
      </c>
    </row>
    <row r="63" spans="1:29" x14ac:dyDescent="0.25">
      <c r="A63" s="13" t="str">
        <f>IFERROR(INDEX($AA$1:$AA$125,MATCH(60,$AC$1:$AC$125,0)),"")</f>
        <v/>
      </c>
      <c r="B63" s="33"/>
      <c r="C63" s="15">
        <f>IF($A63="",0,COUNTIF('Sprint W1'!$B$4:$B$8,$A63)*5+COUNTIF('Sprint W1'!$C$4:$C$8,$A63)*4+COUNTIF('Sprint W1'!$D$4:$D$8,$A63)*3+COUNTIF('Sprint W1'!$E$4:$E$8,$A63)*2+COUNTIF('Sprint W1'!$F$4:$F$8,$A63)*1)</f>
        <v>0</v>
      </c>
      <c r="D63" s="15">
        <f>IF($A63="",0,COUNTIF('Sprint W2'!$B$4:$B$8,$A63)*5+COUNTIF('Sprint W2'!$C$4:$C$8,$A63)*4+COUNTIF('Sprint W2'!$D$4:$D$8,$A63)*3+COUNTIF('Sprint W2'!$E$4:$E$8,$A63)*2+COUNTIF('Sprint W2'!$F$4:$F$8,$A63)*1)</f>
        <v>0</v>
      </c>
      <c r="E63" s="15">
        <f>IF($A63="",0,COUNTIF('Sprint W3'!$B$4:$B$8,$A63)*5+COUNTIF('Sprint W3'!$C$4:$C$8,$A63)*4+COUNTIF('Sprint W3'!$D$4:$D$8,$A63)*3+COUNTIF('Sprint W3'!$E$4:$E$8,$A63)*2+COUNTIF('Sprint W3'!$F$4:$F$8,$A63)*1)</f>
        <v>0</v>
      </c>
      <c r="F63" s="15">
        <f>IF($A63="",0,COUNTIF('Sprint W4'!$B$4:$B$8,$A63)*5+COUNTIF('Sprint W4'!$C$4:$C$8,$A63)*4+COUNTIF('Sprint W4'!$D$4:$D$8,$A63)*3+COUNTIF('Sprint W4'!$E$4:$E$8,$A63)*2+COUNTIF('Sprint W4'!$F$4:$F$8,$A63)*1)</f>
        <v>0</v>
      </c>
      <c r="G63" s="15">
        <f>IF($A63="",0,COUNTIF('Sprint W5'!$B$4:$B$8,$A63)*5+COUNTIF('Sprint W5'!$C$4:$C$8,$A63)*4+COUNTIF('Sprint W5'!$D$4:$D$8,$A63)*3+COUNTIF('Sprint W5'!$E$4:$E$8,$A63)*2+COUNTIF('Sprint W5'!$F$4:$F$8,$A63)*1)</f>
        <v>0</v>
      </c>
      <c r="H63" s="25" t="str">
        <f t="shared" si="2"/>
        <v/>
      </c>
      <c r="I63" s="26" t="str">
        <f t="shared" si="3"/>
        <v/>
      </c>
      <c r="AA63" t="str">
        <f>'Sprint W3'!D6</f>
        <v>Daan Switters</v>
      </c>
      <c r="AB63">
        <f>IF(AA63="",0,IF(COUNTIF($AA$1:AA63,AA63)=1,1,0))</f>
        <v>0</v>
      </c>
      <c r="AC63" t="str">
        <f>IF(AB63=1,COUNTIF($AB$1:AB63,1),"")</f>
        <v/>
      </c>
    </row>
    <row r="64" spans="1:29" x14ac:dyDescent="0.25">
      <c r="A64" s="13" t="str">
        <f>IFERROR(INDEX($AA$1:$AA$125,MATCH(61,$AC$1:$AC$125,0)),"")</f>
        <v/>
      </c>
      <c r="B64" s="33"/>
      <c r="C64" s="15">
        <f>IF($A64="",0,COUNTIF('Sprint W1'!$B$4:$B$8,$A64)*5+COUNTIF('Sprint W1'!$C$4:$C$8,$A64)*4+COUNTIF('Sprint W1'!$D$4:$D$8,$A64)*3+COUNTIF('Sprint W1'!$E$4:$E$8,$A64)*2+COUNTIF('Sprint W1'!$F$4:$F$8,$A64)*1)</f>
        <v>0</v>
      </c>
      <c r="D64" s="15">
        <f>IF($A64="",0,COUNTIF('Sprint W2'!$B$4:$B$8,$A64)*5+COUNTIF('Sprint W2'!$C$4:$C$8,$A64)*4+COUNTIF('Sprint W2'!$D$4:$D$8,$A64)*3+COUNTIF('Sprint W2'!$E$4:$E$8,$A64)*2+COUNTIF('Sprint W2'!$F$4:$F$8,$A64)*1)</f>
        <v>0</v>
      </c>
      <c r="E64" s="15">
        <f>IF($A64="",0,COUNTIF('Sprint W3'!$B$4:$B$8,$A64)*5+COUNTIF('Sprint W3'!$C$4:$C$8,$A64)*4+COUNTIF('Sprint W3'!$D$4:$D$8,$A64)*3+COUNTIF('Sprint W3'!$E$4:$E$8,$A64)*2+COUNTIF('Sprint W3'!$F$4:$F$8,$A64)*1)</f>
        <v>0</v>
      </c>
      <c r="F64" s="15">
        <f>IF($A64="",0,COUNTIF('Sprint W4'!$B$4:$B$8,$A64)*5+COUNTIF('Sprint W4'!$C$4:$C$8,$A64)*4+COUNTIF('Sprint W4'!$D$4:$D$8,$A64)*3+COUNTIF('Sprint W4'!$E$4:$E$8,$A64)*2+COUNTIF('Sprint W4'!$F$4:$F$8,$A64)*1)</f>
        <v>0</v>
      </c>
      <c r="G64" s="15">
        <f>IF($A64="",0,COUNTIF('Sprint W5'!$B$4:$B$8,$A64)*5+COUNTIF('Sprint W5'!$C$4:$C$8,$A64)*4+COUNTIF('Sprint W5'!$D$4:$D$8,$A64)*3+COUNTIF('Sprint W5'!$E$4:$E$8,$A64)*2+COUNTIF('Sprint W5'!$F$4:$F$8,$A64)*1)</f>
        <v>0</v>
      </c>
      <c r="H64" s="25" t="str">
        <f t="shared" si="2"/>
        <v/>
      </c>
      <c r="I64" s="26" t="str">
        <f t="shared" si="3"/>
        <v/>
      </c>
      <c r="AA64" t="str">
        <f>'Sprint W3'!E6</f>
        <v>Robert de Jong</v>
      </c>
      <c r="AB64">
        <f>IF(AA64="",0,IF(COUNTIF($AA$1:AA64,AA64)=1,1,0))</f>
        <v>1</v>
      </c>
      <c r="AC64">
        <f>IF(AB64=1,COUNTIF($AB$1:AB64,1),"")</f>
        <v>17</v>
      </c>
    </row>
    <row r="65" spans="1:29" x14ac:dyDescent="0.25">
      <c r="A65" s="13" t="str">
        <f>IFERROR(INDEX($AA$1:$AA$125,MATCH(62,$AC$1:$AC$125,0)),"")</f>
        <v/>
      </c>
      <c r="B65" s="33"/>
      <c r="C65" s="15">
        <f>IF($A65="",0,COUNTIF('Sprint W1'!$B$4:$B$8,$A65)*5+COUNTIF('Sprint W1'!$C$4:$C$8,$A65)*4+COUNTIF('Sprint W1'!$D$4:$D$8,$A65)*3+COUNTIF('Sprint W1'!$E$4:$E$8,$A65)*2+COUNTIF('Sprint W1'!$F$4:$F$8,$A65)*1)</f>
        <v>0</v>
      </c>
      <c r="D65" s="15">
        <f>IF($A65="",0,COUNTIF('Sprint W2'!$B$4:$B$8,$A65)*5+COUNTIF('Sprint W2'!$C$4:$C$8,$A65)*4+COUNTIF('Sprint W2'!$D$4:$D$8,$A65)*3+COUNTIF('Sprint W2'!$E$4:$E$8,$A65)*2+COUNTIF('Sprint W2'!$F$4:$F$8,$A65)*1)</f>
        <v>0</v>
      </c>
      <c r="E65" s="15">
        <f>IF($A65="",0,COUNTIF('Sprint W3'!$B$4:$B$8,$A65)*5+COUNTIF('Sprint W3'!$C$4:$C$8,$A65)*4+COUNTIF('Sprint W3'!$D$4:$D$8,$A65)*3+COUNTIF('Sprint W3'!$E$4:$E$8,$A65)*2+COUNTIF('Sprint W3'!$F$4:$F$8,$A65)*1)</f>
        <v>0</v>
      </c>
      <c r="F65" s="15">
        <f>IF($A65="",0,COUNTIF('Sprint W4'!$B$4:$B$8,$A65)*5+COUNTIF('Sprint W4'!$C$4:$C$8,$A65)*4+COUNTIF('Sprint W4'!$D$4:$D$8,$A65)*3+COUNTIF('Sprint W4'!$E$4:$E$8,$A65)*2+COUNTIF('Sprint W4'!$F$4:$F$8,$A65)*1)</f>
        <v>0</v>
      </c>
      <c r="G65" s="15">
        <f>IF($A65="",0,COUNTIF('Sprint W5'!$B$4:$B$8,$A65)*5+COUNTIF('Sprint W5'!$C$4:$C$8,$A65)*4+COUNTIF('Sprint W5'!$D$4:$D$8,$A65)*3+COUNTIF('Sprint W5'!$E$4:$E$8,$A65)*2+COUNTIF('Sprint W5'!$F$4:$F$8,$A65)*1)</f>
        <v>0</v>
      </c>
      <c r="H65" s="25" t="str">
        <f t="shared" si="2"/>
        <v/>
      </c>
      <c r="I65" s="26" t="str">
        <f t="shared" si="3"/>
        <v/>
      </c>
      <c r="AA65" t="str">
        <f>'Sprint W3'!F6</f>
        <v>Henriko van Veldhuizen</v>
      </c>
      <c r="AB65">
        <f>IF(AA65="",0,IF(COUNTIF($AA$1:AA65,AA65)=1,1,0))</f>
        <v>1</v>
      </c>
      <c r="AC65">
        <f>IF(AB65=1,COUNTIF($AB$1:AB65,1),"")</f>
        <v>18</v>
      </c>
    </row>
    <row r="66" spans="1:29" x14ac:dyDescent="0.25">
      <c r="A66" s="13" t="str">
        <f>IFERROR(INDEX($AA$1:$AA$125,MATCH(63,$AC$1:$AC$125,0)),"")</f>
        <v/>
      </c>
      <c r="B66" s="33"/>
      <c r="C66" s="15">
        <f>IF($A66="",0,COUNTIF('Sprint W1'!$B$4:$B$8,$A66)*5+COUNTIF('Sprint W1'!$C$4:$C$8,$A66)*4+COUNTIF('Sprint W1'!$D$4:$D$8,$A66)*3+COUNTIF('Sprint W1'!$E$4:$E$8,$A66)*2+COUNTIF('Sprint W1'!$F$4:$F$8,$A66)*1)</f>
        <v>0</v>
      </c>
      <c r="D66" s="15">
        <f>IF($A66="",0,COUNTIF('Sprint W2'!$B$4:$B$8,$A66)*5+COUNTIF('Sprint W2'!$C$4:$C$8,$A66)*4+COUNTIF('Sprint W2'!$D$4:$D$8,$A66)*3+COUNTIF('Sprint W2'!$E$4:$E$8,$A66)*2+COUNTIF('Sprint W2'!$F$4:$F$8,$A66)*1)</f>
        <v>0</v>
      </c>
      <c r="E66" s="15">
        <f>IF($A66="",0,COUNTIF('Sprint W3'!$B$4:$B$8,$A66)*5+COUNTIF('Sprint W3'!$C$4:$C$8,$A66)*4+COUNTIF('Sprint W3'!$D$4:$D$8,$A66)*3+COUNTIF('Sprint W3'!$E$4:$E$8,$A66)*2+COUNTIF('Sprint W3'!$F$4:$F$8,$A66)*1)</f>
        <v>0</v>
      </c>
      <c r="F66" s="15">
        <f>IF($A66="",0,COUNTIF('Sprint W4'!$B$4:$B$8,$A66)*5+COUNTIF('Sprint W4'!$C$4:$C$8,$A66)*4+COUNTIF('Sprint W4'!$D$4:$D$8,$A66)*3+COUNTIF('Sprint W4'!$E$4:$E$8,$A66)*2+COUNTIF('Sprint W4'!$F$4:$F$8,$A66)*1)</f>
        <v>0</v>
      </c>
      <c r="G66" s="15">
        <f>IF($A66="",0,COUNTIF('Sprint W5'!$B$4:$B$8,$A66)*5+COUNTIF('Sprint W5'!$C$4:$C$8,$A66)*4+COUNTIF('Sprint W5'!$D$4:$D$8,$A66)*3+COUNTIF('Sprint W5'!$E$4:$E$8,$A66)*2+COUNTIF('Sprint W5'!$F$4:$F$8,$A66)*1)</f>
        <v>0</v>
      </c>
      <c r="H66" s="25" t="str">
        <f t="shared" si="2"/>
        <v/>
      </c>
      <c r="I66" s="26" t="str">
        <f t="shared" si="3"/>
        <v/>
      </c>
      <c r="AA66">
        <f>'Sprint W3'!B7</f>
        <v>0</v>
      </c>
      <c r="AB66">
        <f>IF(AA66="",0,IF(COUNTIF($AA$1:AA66,AA66)=1,1,0))</f>
        <v>0</v>
      </c>
      <c r="AC66" t="str">
        <f>IF(AB66=1,COUNTIF($AB$1:AB66,1),"")</f>
        <v/>
      </c>
    </row>
    <row r="67" spans="1:29" x14ac:dyDescent="0.25">
      <c r="A67" s="13" t="str">
        <f>IFERROR(INDEX($AA$1:$AA$125,MATCH(64,$AC$1:$AC$125,0)),"")</f>
        <v/>
      </c>
      <c r="B67" s="33"/>
      <c r="C67" s="15">
        <f>IF($A67="",0,COUNTIF('Sprint W1'!$B$4:$B$8,$A67)*5+COUNTIF('Sprint W1'!$C$4:$C$8,$A67)*4+COUNTIF('Sprint W1'!$D$4:$D$8,$A67)*3+COUNTIF('Sprint W1'!$E$4:$E$8,$A67)*2+COUNTIF('Sprint W1'!$F$4:$F$8,$A67)*1)</f>
        <v>0</v>
      </c>
      <c r="D67" s="15">
        <f>IF($A67="",0,COUNTIF('Sprint W2'!$B$4:$B$8,$A67)*5+COUNTIF('Sprint W2'!$C$4:$C$8,$A67)*4+COUNTIF('Sprint W2'!$D$4:$D$8,$A67)*3+COUNTIF('Sprint W2'!$E$4:$E$8,$A67)*2+COUNTIF('Sprint W2'!$F$4:$F$8,$A67)*1)</f>
        <v>0</v>
      </c>
      <c r="E67" s="15">
        <f>IF($A67="",0,COUNTIF('Sprint W3'!$B$4:$B$8,$A67)*5+COUNTIF('Sprint W3'!$C$4:$C$8,$A67)*4+COUNTIF('Sprint W3'!$D$4:$D$8,$A67)*3+COUNTIF('Sprint W3'!$E$4:$E$8,$A67)*2+COUNTIF('Sprint W3'!$F$4:$F$8,$A67)*1)</f>
        <v>0</v>
      </c>
      <c r="F67" s="15">
        <f>IF($A67="",0,COUNTIF('Sprint W4'!$B$4:$B$8,$A67)*5+COUNTIF('Sprint W4'!$C$4:$C$8,$A67)*4+COUNTIF('Sprint W4'!$D$4:$D$8,$A67)*3+COUNTIF('Sprint W4'!$E$4:$E$8,$A67)*2+COUNTIF('Sprint W4'!$F$4:$F$8,$A67)*1)</f>
        <v>0</v>
      </c>
      <c r="G67" s="15">
        <f>IF($A67="",0,COUNTIF('Sprint W5'!$B$4:$B$8,$A67)*5+COUNTIF('Sprint W5'!$C$4:$C$8,$A67)*4+COUNTIF('Sprint W5'!$D$4:$D$8,$A67)*3+COUNTIF('Sprint W5'!$E$4:$E$8,$A67)*2+COUNTIF('Sprint W5'!$F$4:$F$8,$A67)*1)</f>
        <v>0</v>
      </c>
      <c r="H67" s="25" t="str">
        <f t="shared" si="2"/>
        <v/>
      </c>
      <c r="I67" s="26" t="str">
        <f t="shared" si="3"/>
        <v/>
      </c>
      <c r="AA67">
        <f>'Sprint W3'!C7</f>
        <v>0</v>
      </c>
      <c r="AB67">
        <f>IF(AA67="",0,IF(COUNTIF($AA$1:AA67,AA67)=1,1,0))</f>
        <v>0</v>
      </c>
      <c r="AC67" t="str">
        <f>IF(AB67=1,COUNTIF($AB$1:AB67,1),"")</f>
        <v/>
      </c>
    </row>
    <row r="68" spans="1:29" x14ac:dyDescent="0.25">
      <c r="A68" s="13" t="str">
        <f>IFERROR(INDEX($AA$1:$AA$125,MATCH(65,$AC$1:$AC$125,0)),"")</f>
        <v/>
      </c>
      <c r="B68" s="33"/>
      <c r="C68" s="15">
        <f>IF($A68="",0,COUNTIF('Sprint W1'!$B$4:$B$8,$A68)*5+COUNTIF('Sprint W1'!$C$4:$C$8,$A68)*4+COUNTIF('Sprint W1'!$D$4:$D$8,$A68)*3+COUNTIF('Sprint W1'!$E$4:$E$8,$A68)*2+COUNTIF('Sprint W1'!$F$4:$F$8,$A68)*1)</f>
        <v>0</v>
      </c>
      <c r="D68" s="15">
        <f>IF($A68="",0,COUNTIF('Sprint W2'!$B$4:$B$8,$A68)*5+COUNTIF('Sprint W2'!$C$4:$C$8,$A68)*4+COUNTIF('Sprint W2'!$D$4:$D$8,$A68)*3+COUNTIF('Sprint W2'!$E$4:$E$8,$A68)*2+COUNTIF('Sprint W2'!$F$4:$F$8,$A68)*1)</f>
        <v>0</v>
      </c>
      <c r="E68" s="15">
        <f>IF($A68="",0,COUNTIF('Sprint W3'!$B$4:$B$8,$A68)*5+COUNTIF('Sprint W3'!$C$4:$C$8,$A68)*4+COUNTIF('Sprint W3'!$D$4:$D$8,$A68)*3+COUNTIF('Sprint W3'!$E$4:$E$8,$A68)*2+COUNTIF('Sprint W3'!$F$4:$F$8,$A68)*1)</f>
        <v>0</v>
      </c>
      <c r="F68" s="15">
        <f>IF($A68="",0,COUNTIF('Sprint W4'!$B$4:$B$8,$A68)*5+COUNTIF('Sprint W4'!$C$4:$C$8,$A68)*4+COUNTIF('Sprint W4'!$D$4:$D$8,$A68)*3+COUNTIF('Sprint W4'!$E$4:$E$8,$A68)*2+COUNTIF('Sprint W4'!$F$4:$F$8,$A68)*1)</f>
        <v>0</v>
      </c>
      <c r="G68" s="15">
        <f>IF($A68="",0,COUNTIF('Sprint W5'!$B$4:$B$8,$A68)*5+COUNTIF('Sprint W5'!$C$4:$C$8,$A68)*4+COUNTIF('Sprint W5'!$D$4:$D$8,$A68)*3+COUNTIF('Sprint W5'!$E$4:$E$8,$A68)*2+COUNTIF('Sprint W5'!$F$4:$F$8,$A68)*1)</f>
        <v>0</v>
      </c>
      <c r="H68" s="25" t="str">
        <f t="shared" ref="H68:H99" si="4">IF($A68="","",C68+D68+E68+F68+G68)</f>
        <v/>
      </c>
      <c r="I68" s="26" t="str">
        <f t="shared" ref="I68:I99" si="5">IF(OR($A68="",H68="",H68=0),"",RANK(H68,$H$4:$H$103,0))</f>
        <v/>
      </c>
      <c r="AA68">
        <f>'Sprint W3'!D7</f>
        <v>0</v>
      </c>
      <c r="AB68">
        <f>IF(AA68="",0,IF(COUNTIF($AA$1:AA68,AA68)=1,1,0))</f>
        <v>0</v>
      </c>
      <c r="AC68" t="str">
        <f>IF(AB68=1,COUNTIF($AB$1:AB68,1),"")</f>
        <v/>
      </c>
    </row>
    <row r="69" spans="1:29" x14ac:dyDescent="0.25">
      <c r="A69" s="13" t="str">
        <f>IFERROR(INDEX($AA$1:$AA$125,MATCH(66,$AC$1:$AC$125,0)),"")</f>
        <v/>
      </c>
      <c r="B69" s="33"/>
      <c r="C69" s="15">
        <f>IF($A69="",0,COUNTIF('Sprint W1'!$B$4:$B$8,$A69)*5+COUNTIF('Sprint W1'!$C$4:$C$8,$A69)*4+COUNTIF('Sprint W1'!$D$4:$D$8,$A69)*3+COUNTIF('Sprint W1'!$E$4:$E$8,$A69)*2+COUNTIF('Sprint W1'!$F$4:$F$8,$A69)*1)</f>
        <v>0</v>
      </c>
      <c r="D69" s="15">
        <f>IF($A69="",0,COUNTIF('Sprint W2'!$B$4:$B$8,$A69)*5+COUNTIF('Sprint W2'!$C$4:$C$8,$A69)*4+COUNTIF('Sprint W2'!$D$4:$D$8,$A69)*3+COUNTIF('Sprint W2'!$E$4:$E$8,$A69)*2+COUNTIF('Sprint W2'!$F$4:$F$8,$A69)*1)</f>
        <v>0</v>
      </c>
      <c r="E69" s="15">
        <f>IF($A69="",0,COUNTIF('Sprint W3'!$B$4:$B$8,$A69)*5+COUNTIF('Sprint W3'!$C$4:$C$8,$A69)*4+COUNTIF('Sprint W3'!$D$4:$D$8,$A69)*3+COUNTIF('Sprint W3'!$E$4:$E$8,$A69)*2+COUNTIF('Sprint W3'!$F$4:$F$8,$A69)*1)</f>
        <v>0</v>
      </c>
      <c r="F69" s="15">
        <f>IF($A69="",0,COUNTIF('Sprint W4'!$B$4:$B$8,$A69)*5+COUNTIF('Sprint W4'!$C$4:$C$8,$A69)*4+COUNTIF('Sprint W4'!$D$4:$D$8,$A69)*3+COUNTIF('Sprint W4'!$E$4:$E$8,$A69)*2+COUNTIF('Sprint W4'!$F$4:$F$8,$A69)*1)</f>
        <v>0</v>
      </c>
      <c r="G69" s="15">
        <f>IF($A69="",0,COUNTIF('Sprint W5'!$B$4:$B$8,$A69)*5+COUNTIF('Sprint W5'!$C$4:$C$8,$A69)*4+COUNTIF('Sprint W5'!$D$4:$D$8,$A69)*3+COUNTIF('Sprint W5'!$E$4:$E$8,$A69)*2+COUNTIF('Sprint W5'!$F$4:$F$8,$A69)*1)</f>
        <v>0</v>
      </c>
      <c r="H69" s="25" t="str">
        <f t="shared" si="4"/>
        <v/>
      </c>
      <c r="I69" s="26" t="str">
        <f t="shared" si="5"/>
        <v/>
      </c>
      <c r="AA69">
        <f>'Sprint W3'!E7</f>
        <v>0</v>
      </c>
      <c r="AB69">
        <f>IF(AA69="",0,IF(COUNTIF($AA$1:AA69,AA69)=1,1,0))</f>
        <v>0</v>
      </c>
      <c r="AC69" t="str">
        <f>IF(AB69=1,COUNTIF($AB$1:AB69,1),"")</f>
        <v/>
      </c>
    </row>
    <row r="70" spans="1:29" x14ac:dyDescent="0.25">
      <c r="A70" s="13" t="str">
        <f>IFERROR(INDEX($AA$1:$AA$125,MATCH(67,$AC$1:$AC$125,0)),"")</f>
        <v/>
      </c>
      <c r="B70" s="33"/>
      <c r="C70" s="15">
        <f>IF($A70="",0,COUNTIF('Sprint W1'!$B$4:$B$8,$A70)*5+COUNTIF('Sprint W1'!$C$4:$C$8,$A70)*4+COUNTIF('Sprint W1'!$D$4:$D$8,$A70)*3+COUNTIF('Sprint W1'!$E$4:$E$8,$A70)*2+COUNTIF('Sprint W1'!$F$4:$F$8,$A70)*1)</f>
        <v>0</v>
      </c>
      <c r="D70" s="15">
        <f>IF($A70="",0,COUNTIF('Sprint W2'!$B$4:$B$8,$A70)*5+COUNTIF('Sprint W2'!$C$4:$C$8,$A70)*4+COUNTIF('Sprint W2'!$D$4:$D$8,$A70)*3+COUNTIF('Sprint W2'!$E$4:$E$8,$A70)*2+COUNTIF('Sprint W2'!$F$4:$F$8,$A70)*1)</f>
        <v>0</v>
      </c>
      <c r="E70" s="15">
        <f>IF($A70="",0,COUNTIF('Sprint W3'!$B$4:$B$8,$A70)*5+COUNTIF('Sprint W3'!$C$4:$C$8,$A70)*4+COUNTIF('Sprint W3'!$D$4:$D$8,$A70)*3+COUNTIF('Sprint W3'!$E$4:$E$8,$A70)*2+COUNTIF('Sprint W3'!$F$4:$F$8,$A70)*1)</f>
        <v>0</v>
      </c>
      <c r="F70" s="15">
        <f>IF($A70="",0,COUNTIF('Sprint W4'!$B$4:$B$8,$A70)*5+COUNTIF('Sprint W4'!$C$4:$C$8,$A70)*4+COUNTIF('Sprint W4'!$D$4:$D$8,$A70)*3+COUNTIF('Sprint W4'!$E$4:$E$8,$A70)*2+COUNTIF('Sprint W4'!$F$4:$F$8,$A70)*1)</f>
        <v>0</v>
      </c>
      <c r="G70" s="15">
        <f>IF($A70="",0,COUNTIF('Sprint W5'!$B$4:$B$8,$A70)*5+COUNTIF('Sprint W5'!$C$4:$C$8,$A70)*4+COUNTIF('Sprint W5'!$D$4:$D$8,$A70)*3+COUNTIF('Sprint W5'!$E$4:$E$8,$A70)*2+COUNTIF('Sprint W5'!$F$4:$F$8,$A70)*1)</f>
        <v>0</v>
      </c>
      <c r="H70" s="25" t="str">
        <f t="shared" si="4"/>
        <v/>
      </c>
      <c r="I70" s="26" t="str">
        <f t="shared" si="5"/>
        <v/>
      </c>
      <c r="AA70">
        <f>'Sprint W3'!F7</f>
        <v>0</v>
      </c>
      <c r="AB70">
        <f>IF(AA70="",0,IF(COUNTIF($AA$1:AA70,AA70)=1,1,0))</f>
        <v>0</v>
      </c>
      <c r="AC70" t="str">
        <f>IF(AB70=1,COUNTIF($AB$1:AB70,1),"")</f>
        <v/>
      </c>
    </row>
    <row r="71" spans="1:29" x14ac:dyDescent="0.25">
      <c r="A71" s="13" t="str">
        <f>IFERROR(INDEX($AA$1:$AA$125,MATCH(68,$AC$1:$AC$125,0)),"")</f>
        <v/>
      </c>
      <c r="B71" s="33"/>
      <c r="C71" s="15">
        <f>IF($A71="",0,COUNTIF('Sprint W1'!$B$4:$B$8,$A71)*5+COUNTIF('Sprint W1'!$C$4:$C$8,$A71)*4+COUNTIF('Sprint W1'!$D$4:$D$8,$A71)*3+COUNTIF('Sprint W1'!$E$4:$E$8,$A71)*2+COUNTIF('Sprint W1'!$F$4:$F$8,$A71)*1)</f>
        <v>0</v>
      </c>
      <c r="D71" s="15">
        <f>IF($A71="",0,COUNTIF('Sprint W2'!$B$4:$B$8,$A71)*5+COUNTIF('Sprint W2'!$C$4:$C$8,$A71)*4+COUNTIF('Sprint W2'!$D$4:$D$8,$A71)*3+COUNTIF('Sprint W2'!$E$4:$E$8,$A71)*2+COUNTIF('Sprint W2'!$F$4:$F$8,$A71)*1)</f>
        <v>0</v>
      </c>
      <c r="E71" s="15">
        <f>IF($A71="",0,COUNTIF('Sprint W3'!$B$4:$B$8,$A71)*5+COUNTIF('Sprint W3'!$C$4:$C$8,$A71)*4+COUNTIF('Sprint W3'!$D$4:$D$8,$A71)*3+COUNTIF('Sprint W3'!$E$4:$E$8,$A71)*2+COUNTIF('Sprint W3'!$F$4:$F$8,$A71)*1)</f>
        <v>0</v>
      </c>
      <c r="F71" s="15">
        <f>IF($A71="",0,COUNTIF('Sprint W4'!$B$4:$B$8,$A71)*5+COUNTIF('Sprint W4'!$C$4:$C$8,$A71)*4+COUNTIF('Sprint W4'!$D$4:$D$8,$A71)*3+COUNTIF('Sprint W4'!$E$4:$E$8,$A71)*2+COUNTIF('Sprint W4'!$F$4:$F$8,$A71)*1)</f>
        <v>0</v>
      </c>
      <c r="G71" s="15">
        <f>IF($A71="",0,COUNTIF('Sprint W5'!$B$4:$B$8,$A71)*5+COUNTIF('Sprint W5'!$C$4:$C$8,$A71)*4+COUNTIF('Sprint W5'!$D$4:$D$8,$A71)*3+COUNTIF('Sprint W5'!$E$4:$E$8,$A71)*2+COUNTIF('Sprint W5'!$F$4:$F$8,$A71)*1)</f>
        <v>0</v>
      </c>
      <c r="H71" s="25" t="str">
        <f t="shared" si="4"/>
        <v/>
      </c>
      <c r="I71" s="26" t="str">
        <f t="shared" si="5"/>
        <v/>
      </c>
      <c r="AA71">
        <f>'Sprint W3'!B8</f>
        <v>0</v>
      </c>
      <c r="AB71">
        <f>IF(AA71="",0,IF(COUNTIF($AA$1:AA71,AA71)=1,1,0))</f>
        <v>0</v>
      </c>
      <c r="AC71" t="str">
        <f>IF(AB71=1,COUNTIF($AB$1:AB71,1),"")</f>
        <v/>
      </c>
    </row>
    <row r="72" spans="1:29" x14ac:dyDescent="0.25">
      <c r="A72" s="13" t="str">
        <f>IFERROR(INDEX($AA$1:$AA$125,MATCH(69,$AC$1:$AC$125,0)),"")</f>
        <v/>
      </c>
      <c r="B72" s="33"/>
      <c r="C72" s="15">
        <f>IF($A72="",0,COUNTIF('Sprint W1'!$B$4:$B$8,$A72)*5+COUNTIF('Sprint W1'!$C$4:$C$8,$A72)*4+COUNTIF('Sprint W1'!$D$4:$D$8,$A72)*3+COUNTIF('Sprint W1'!$E$4:$E$8,$A72)*2+COUNTIF('Sprint W1'!$F$4:$F$8,$A72)*1)</f>
        <v>0</v>
      </c>
      <c r="D72" s="15">
        <f>IF($A72="",0,COUNTIF('Sprint W2'!$B$4:$B$8,$A72)*5+COUNTIF('Sprint W2'!$C$4:$C$8,$A72)*4+COUNTIF('Sprint W2'!$D$4:$D$8,$A72)*3+COUNTIF('Sprint W2'!$E$4:$E$8,$A72)*2+COUNTIF('Sprint W2'!$F$4:$F$8,$A72)*1)</f>
        <v>0</v>
      </c>
      <c r="E72" s="15">
        <f>IF($A72="",0,COUNTIF('Sprint W3'!$B$4:$B$8,$A72)*5+COUNTIF('Sprint W3'!$C$4:$C$8,$A72)*4+COUNTIF('Sprint W3'!$D$4:$D$8,$A72)*3+COUNTIF('Sprint W3'!$E$4:$E$8,$A72)*2+COUNTIF('Sprint W3'!$F$4:$F$8,$A72)*1)</f>
        <v>0</v>
      </c>
      <c r="F72" s="15">
        <f>IF($A72="",0,COUNTIF('Sprint W4'!$B$4:$B$8,$A72)*5+COUNTIF('Sprint W4'!$C$4:$C$8,$A72)*4+COUNTIF('Sprint W4'!$D$4:$D$8,$A72)*3+COUNTIF('Sprint W4'!$E$4:$E$8,$A72)*2+COUNTIF('Sprint W4'!$F$4:$F$8,$A72)*1)</f>
        <v>0</v>
      </c>
      <c r="G72" s="15">
        <f>IF($A72="",0,COUNTIF('Sprint W5'!$B$4:$B$8,$A72)*5+COUNTIF('Sprint W5'!$C$4:$C$8,$A72)*4+COUNTIF('Sprint W5'!$D$4:$D$8,$A72)*3+COUNTIF('Sprint W5'!$E$4:$E$8,$A72)*2+COUNTIF('Sprint W5'!$F$4:$F$8,$A72)*1)</f>
        <v>0</v>
      </c>
      <c r="H72" s="25" t="str">
        <f t="shared" si="4"/>
        <v/>
      </c>
      <c r="I72" s="26" t="str">
        <f t="shared" si="5"/>
        <v/>
      </c>
      <c r="AA72">
        <f>'Sprint W3'!C8</f>
        <v>0</v>
      </c>
      <c r="AB72">
        <f>IF(AA72="",0,IF(COUNTIF($AA$1:AA72,AA72)=1,1,0))</f>
        <v>0</v>
      </c>
      <c r="AC72" t="str">
        <f>IF(AB72=1,COUNTIF($AB$1:AB72,1),"")</f>
        <v/>
      </c>
    </row>
    <row r="73" spans="1:29" x14ac:dyDescent="0.25">
      <c r="A73" s="13" t="str">
        <f>IFERROR(INDEX($AA$1:$AA$125,MATCH(70,$AC$1:$AC$125,0)),"")</f>
        <v/>
      </c>
      <c r="B73" s="33"/>
      <c r="C73" s="15">
        <f>IF($A73="",0,COUNTIF('Sprint W1'!$B$4:$B$8,$A73)*5+COUNTIF('Sprint W1'!$C$4:$C$8,$A73)*4+COUNTIF('Sprint W1'!$D$4:$D$8,$A73)*3+COUNTIF('Sprint W1'!$E$4:$E$8,$A73)*2+COUNTIF('Sprint W1'!$F$4:$F$8,$A73)*1)</f>
        <v>0</v>
      </c>
      <c r="D73" s="15">
        <f>IF($A73="",0,COUNTIF('Sprint W2'!$B$4:$B$8,$A73)*5+COUNTIF('Sprint W2'!$C$4:$C$8,$A73)*4+COUNTIF('Sprint W2'!$D$4:$D$8,$A73)*3+COUNTIF('Sprint W2'!$E$4:$E$8,$A73)*2+COUNTIF('Sprint W2'!$F$4:$F$8,$A73)*1)</f>
        <v>0</v>
      </c>
      <c r="E73" s="15">
        <f>IF($A73="",0,COUNTIF('Sprint W3'!$B$4:$B$8,$A73)*5+COUNTIF('Sprint W3'!$C$4:$C$8,$A73)*4+COUNTIF('Sprint W3'!$D$4:$D$8,$A73)*3+COUNTIF('Sprint W3'!$E$4:$E$8,$A73)*2+COUNTIF('Sprint W3'!$F$4:$F$8,$A73)*1)</f>
        <v>0</v>
      </c>
      <c r="F73" s="15">
        <f>IF($A73="",0,COUNTIF('Sprint W4'!$B$4:$B$8,$A73)*5+COUNTIF('Sprint W4'!$C$4:$C$8,$A73)*4+COUNTIF('Sprint W4'!$D$4:$D$8,$A73)*3+COUNTIF('Sprint W4'!$E$4:$E$8,$A73)*2+COUNTIF('Sprint W4'!$F$4:$F$8,$A73)*1)</f>
        <v>0</v>
      </c>
      <c r="G73" s="15">
        <f>IF($A73="",0,COUNTIF('Sprint W5'!$B$4:$B$8,$A73)*5+COUNTIF('Sprint W5'!$C$4:$C$8,$A73)*4+COUNTIF('Sprint W5'!$D$4:$D$8,$A73)*3+COUNTIF('Sprint W5'!$E$4:$E$8,$A73)*2+COUNTIF('Sprint W5'!$F$4:$F$8,$A73)*1)</f>
        <v>0</v>
      </c>
      <c r="H73" s="25" t="str">
        <f t="shared" si="4"/>
        <v/>
      </c>
      <c r="I73" s="26" t="str">
        <f t="shared" si="5"/>
        <v/>
      </c>
      <c r="AA73">
        <f>'Sprint W3'!D8</f>
        <v>0</v>
      </c>
      <c r="AB73">
        <f>IF(AA73="",0,IF(COUNTIF($AA$1:AA73,AA73)=1,1,0))</f>
        <v>0</v>
      </c>
      <c r="AC73" t="str">
        <f>IF(AB73=1,COUNTIF($AB$1:AB73,1),"")</f>
        <v/>
      </c>
    </row>
    <row r="74" spans="1:29" x14ac:dyDescent="0.25">
      <c r="A74" s="13" t="str">
        <f>IFERROR(INDEX($AA$1:$AA$125,MATCH(71,$AC$1:$AC$125,0)),"")</f>
        <v/>
      </c>
      <c r="B74" s="33"/>
      <c r="C74" s="15">
        <f>IF($A74="",0,COUNTIF('Sprint W1'!$B$4:$B$8,$A74)*5+COUNTIF('Sprint W1'!$C$4:$C$8,$A74)*4+COUNTIF('Sprint W1'!$D$4:$D$8,$A74)*3+COUNTIF('Sprint W1'!$E$4:$E$8,$A74)*2+COUNTIF('Sprint W1'!$F$4:$F$8,$A74)*1)</f>
        <v>0</v>
      </c>
      <c r="D74" s="15">
        <f>IF($A74="",0,COUNTIF('Sprint W2'!$B$4:$B$8,$A74)*5+COUNTIF('Sprint W2'!$C$4:$C$8,$A74)*4+COUNTIF('Sprint W2'!$D$4:$D$8,$A74)*3+COUNTIF('Sprint W2'!$E$4:$E$8,$A74)*2+COUNTIF('Sprint W2'!$F$4:$F$8,$A74)*1)</f>
        <v>0</v>
      </c>
      <c r="E74" s="15">
        <f>IF($A74="",0,COUNTIF('Sprint W3'!$B$4:$B$8,$A74)*5+COUNTIF('Sprint W3'!$C$4:$C$8,$A74)*4+COUNTIF('Sprint W3'!$D$4:$D$8,$A74)*3+COUNTIF('Sprint W3'!$E$4:$E$8,$A74)*2+COUNTIF('Sprint W3'!$F$4:$F$8,$A74)*1)</f>
        <v>0</v>
      </c>
      <c r="F74" s="15">
        <f>IF($A74="",0,COUNTIF('Sprint W4'!$B$4:$B$8,$A74)*5+COUNTIF('Sprint W4'!$C$4:$C$8,$A74)*4+COUNTIF('Sprint W4'!$D$4:$D$8,$A74)*3+COUNTIF('Sprint W4'!$E$4:$E$8,$A74)*2+COUNTIF('Sprint W4'!$F$4:$F$8,$A74)*1)</f>
        <v>0</v>
      </c>
      <c r="G74" s="15">
        <f>IF($A74="",0,COUNTIF('Sprint W5'!$B$4:$B$8,$A74)*5+COUNTIF('Sprint W5'!$C$4:$C$8,$A74)*4+COUNTIF('Sprint W5'!$D$4:$D$8,$A74)*3+COUNTIF('Sprint W5'!$E$4:$E$8,$A74)*2+COUNTIF('Sprint W5'!$F$4:$F$8,$A74)*1)</f>
        <v>0</v>
      </c>
      <c r="H74" s="25" t="str">
        <f t="shared" si="4"/>
        <v/>
      </c>
      <c r="I74" s="26" t="str">
        <f t="shared" si="5"/>
        <v/>
      </c>
      <c r="AA74">
        <f>'Sprint W3'!E8</f>
        <v>0</v>
      </c>
      <c r="AB74">
        <f>IF(AA74="",0,IF(COUNTIF($AA$1:AA74,AA74)=1,1,0))</f>
        <v>0</v>
      </c>
      <c r="AC74" t="str">
        <f>IF(AB74=1,COUNTIF($AB$1:AB74,1),"")</f>
        <v/>
      </c>
    </row>
    <row r="75" spans="1:29" x14ac:dyDescent="0.25">
      <c r="A75" s="13" t="str">
        <f>IFERROR(INDEX($AA$1:$AA$125,MATCH(72,$AC$1:$AC$125,0)),"")</f>
        <v/>
      </c>
      <c r="B75" s="33"/>
      <c r="C75" s="15">
        <f>IF($A75="",0,COUNTIF('Sprint W1'!$B$4:$B$8,$A75)*5+COUNTIF('Sprint W1'!$C$4:$C$8,$A75)*4+COUNTIF('Sprint W1'!$D$4:$D$8,$A75)*3+COUNTIF('Sprint W1'!$E$4:$E$8,$A75)*2+COUNTIF('Sprint W1'!$F$4:$F$8,$A75)*1)</f>
        <v>0</v>
      </c>
      <c r="D75" s="15">
        <f>IF($A75="",0,COUNTIF('Sprint W2'!$B$4:$B$8,$A75)*5+COUNTIF('Sprint W2'!$C$4:$C$8,$A75)*4+COUNTIF('Sprint W2'!$D$4:$D$8,$A75)*3+COUNTIF('Sprint W2'!$E$4:$E$8,$A75)*2+COUNTIF('Sprint W2'!$F$4:$F$8,$A75)*1)</f>
        <v>0</v>
      </c>
      <c r="E75" s="15">
        <f>IF($A75="",0,COUNTIF('Sprint W3'!$B$4:$B$8,$A75)*5+COUNTIF('Sprint W3'!$C$4:$C$8,$A75)*4+COUNTIF('Sprint W3'!$D$4:$D$8,$A75)*3+COUNTIF('Sprint W3'!$E$4:$E$8,$A75)*2+COUNTIF('Sprint W3'!$F$4:$F$8,$A75)*1)</f>
        <v>0</v>
      </c>
      <c r="F75" s="15">
        <f>IF($A75="",0,COUNTIF('Sprint W4'!$B$4:$B$8,$A75)*5+COUNTIF('Sprint W4'!$C$4:$C$8,$A75)*4+COUNTIF('Sprint W4'!$D$4:$D$8,$A75)*3+COUNTIF('Sprint W4'!$E$4:$E$8,$A75)*2+COUNTIF('Sprint W4'!$F$4:$F$8,$A75)*1)</f>
        <v>0</v>
      </c>
      <c r="G75" s="15">
        <f>IF($A75="",0,COUNTIF('Sprint W5'!$B$4:$B$8,$A75)*5+COUNTIF('Sprint W5'!$C$4:$C$8,$A75)*4+COUNTIF('Sprint W5'!$D$4:$D$8,$A75)*3+COUNTIF('Sprint W5'!$E$4:$E$8,$A75)*2+COUNTIF('Sprint W5'!$F$4:$F$8,$A75)*1)</f>
        <v>0</v>
      </c>
      <c r="H75" s="25" t="str">
        <f t="shared" si="4"/>
        <v/>
      </c>
      <c r="I75" s="26" t="str">
        <f t="shared" si="5"/>
        <v/>
      </c>
      <c r="AA75">
        <f>'Sprint W3'!F8</f>
        <v>0</v>
      </c>
      <c r="AB75">
        <f>IF(AA75="",0,IF(COUNTIF($AA$1:AA75,AA75)=1,1,0))</f>
        <v>0</v>
      </c>
      <c r="AC75" t="str">
        <f>IF(AB75=1,COUNTIF($AB$1:AB75,1),"")</f>
        <v/>
      </c>
    </row>
    <row r="76" spans="1:29" x14ac:dyDescent="0.25">
      <c r="A76" s="13" t="str">
        <f>IFERROR(INDEX($AA$1:$AA$125,MATCH(73,$AC$1:$AC$125,0)),"")</f>
        <v/>
      </c>
      <c r="B76" s="33"/>
      <c r="C76" s="15">
        <f>IF($A76="",0,COUNTIF('Sprint W1'!$B$4:$B$8,$A76)*5+COUNTIF('Sprint W1'!$C$4:$C$8,$A76)*4+COUNTIF('Sprint W1'!$D$4:$D$8,$A76)*3+COUNTIF('Sprint W1'!$E$4:$E$8,$A76)*2+COUNTIF('Sprint W1'!$F$4:$F$8,$A76)*1)</f>
        <v>0</v>
      </c>
      <c r="D76" s="15">
        <f>IF($A76="",0,COUNTIF('Sprint W2'!$B$4:$B$8,$A76)*5+COUNTIF('Sprint W2'!$C$4:$C$8,$A76)*4+COUNTIF('Sprint W2'!$D$4:$D$8,$A76)*3+COUNTIF('Sprint W2'!$E$4:$E$8,$A76)*2+COUNTIF('Sprint W2'!$F$4:$F$8,$A76)*1)</f>
        <v>0</v>
      </c>
      <c r="E76" s="15">
        <f>IF($A76="",0,COUNTIF('Sprint W3'!$B$4:$B$8,$A76)*5+COUNTIF('Sprint W3'!$C$4:$C$8,$A76)*4+COUNTIF('Sprint W3'!$D$4:$D$8,$A76)*3+COUNTIF('Sprint W3'!$E$4:$E$8,$A76)*2+COUNTIF('Sprint W3'!$F$4:$F$8,$A76)*1)</f>
        <v>0</v>
      </c>
      <c r="F76" s="15">
        <f>IF($A76="",0,COUNTIF('Sprint W4'!$B$4:$B$8,$A76)*5+COUNTIF('Sprint W4'!$C$4:$C$8,$A76)*4+COUNTIF('Sprint W4'!$D$4:$D$8,$A76)*3+COUNTIF('Sprint W4'!$E$4:$E$8,$A76)*2+COUNTIF('Sprint W4'!$F$4:$F$8,$A76)*1)</f>
        <v>0</v>
      </c>
      <c r="G76" s="15">
        <f>IF($A76="",0,COUNTIF('Sprint W5'!$B$4:$B$8,$A76)*5+COUNTIF('Sprint W5'!$C$4:$C$8,$A76)*4+COUNTIF('Sprint W5'!$D$4:$D$8,$A76)*3+COUNTIF('Sprint W5'!$E$4:$E$8,$A76)*2+COUNTIF('Sprint W5'!$F$4:$F$8,$A76)*1)</f>
        <v>0</v>
      </c>
      <c r="H76" s="25" t="str">
        <f t="shared" si="4"/>
        <v/>
      </c>
      <c r="I76" s="26" t="str">
        <f t="shared" si="5"/>
        <v/>
      </c>
      <c r="AA76">
        <f>'Sprint W4'!B4</f>
        <v>0</v>
      </c>
      <c r="AB76">
        <f>IF(AA76="",0,IF(COUNTIF($AA$1:AA76,AA76)=1,1,0))</f>
        <v>0</v>
      </c>
      <c r="AC76" t="str">
        <f>IF(AB76=1,COUNTIF($AB$1:AB76,1),"")</f>
        <v/>
      </c>
    </row>
    <row r="77" spans="1:29" x14ac:dyDescent="0.25">
      <c r="A77" s="13" t="str">
        <f>IFERROR(INDEX($AA$1:$AA$125,MATCH(74,$AC$1:$AC$125,0)),"")</f>
        <v/>
      </c>
      <c r="B77" s="33"/>
      <c r="C77" s="15">
        <f>IF($A77="",0,COUNTIF('Sprint W1'!$B$4:$B$8,$A77)*5+COUNTIF('Sprint W1'!$C$4:$C$8,$A77)*4+COUNTIF('Sprint W1'!$D$4:$D$8,$A77)*3+COUNTIF('Sprint W1'!$E$4:$E$8,$A77)*2+COUNTIF('Sprint W1'!$F$4:$F$8,$A77)*1)</f>
        <v>0</v>
      </c>
      <c r="D77" s="15">
        <f>IF($A77="",0,COUNTIF('Sprint W2'!$B$4:$B$8,$A77)*5+COUNTIF('Sprint W2'!$C$4:$C$8,$A77)*4+COUNTIF('Sprint W2'!$D$4:$D$8,$A77)*3+COUNTIF('Sprint W2'!$E$4:$E$8,$A77)*2+COUNTIF('Sprint W2'!$F$4:$F$8,$A77)*1)</f>
        <v>0</v>
      </c>
      <c r="E77" s="15">
        <f>IF($A77="",0,COUNTIF('Sprint W3'!$B$4:$B$8,$A77)*5+COUNTIF('Sprint W3'!$C$4:$C$8,$A77)*4+COUNTIF('Sprint W3'!$D$4:$D$8,$A77)*3+COUNTIF('Sprint W3'!$E$4:$E$8,$A77)*2+COUNTIF('Sprint W3'!$F$4:$F$8,$A77)*1)</f>
        <v>0</v>
      </c>
      <c r="F77" s="15">
        <f>IF($A77="",0,COUNTIF('Sprint W4'!$B$4:$B$8,$A77)*5+COUNTIF('Sprint W4'!$C$4:$C$8,$A77)*4+COUNTIF('Sprint W4'!$D$4:$D$8,$A77)*3+COUNTIF('Sprint W4'!$E$4:$E$8,$A77)*2+COUNTIF('Sprint W4'!$F$4:$F$8,$A77)*1)</f>
        <v>0</v>
      </c>
      <c r="G77" s="15">
        <f>IF($A77="",0,COUNTIF('Sprint W5'!$B$4:$B$8,$A77)*5+COUNTIF('Sprint W5'!$C$4:$C$8,$A77)*4+COUNTIF('Sprint W5'!$D$4:$D$8,$A77)*3+COUNTIF('Sprint W5'!$E$4:$E$8,$A77)*2+COUNTIF('Sprint W5'!$F$4:$F$8,$A77)*1)</f>
        <v>0</v>
      </c>
      <c r="H77" s="25" t="str">
        <f t="shared" si="4"/>
        <v/>
      </c>
      <c r="I77" s="26" t="str">
        <f t="shared" si="5"/>
        <v/>
      </c>
      <c r="AA77">
        <f>'Sprint W4'!C4</f>
        <v>0</v>
      </c>
      <c r="AB77">
        <f>IF(AA77="",0,IF(COUNTIF($AA$1:AA77,AA77)=1,1,0))</f>
        <v>0</v>
      </c>
      <c r="AC77" t="str">
        <f>IF(AB77=1,COUNTIF($AB$1:AB77,1),"")</f>
        <v/>
      </c>
    </row>
    <row r="78" spans="1:29" x14ac:dyDescent="0.25">
      <c r="A78" s="13" t="str">
        <f>IFERROR(INDEX($AA$1:$AA$125,MATCH(75,$AC$1:$AC$125,0)),"")</f>
        <v/>
      </c>
      <c r="B78" s="33"/>
      <c r="C78" s="15">
        <f>IF($A78="",0,COUNTIF('Sprint W1'!$B$4:$B$8,$A78)*5+COUNTIF('Sprint W1'!$C$4:$C$8,$A78)*4+COUNTIF('Sprint W1'!$D$4:$D$8,$A78)*3+COUNTIF('Sprint W1'!$E$4:$E$8,$A78)*2+COUNTIF('Sprint W1'!$F$4:$F$8,$A78)*1)</f>
        <v>0</v>
      </c>
      <c r="D78" s="15">
        <f>IF($A78="",0,COUNTIF('Sprint W2'!$B$4:$B$8,$A78)*5+COUNTIF('Sprint W2'!$C$4:$C$8,$A78)*4+COUNTIF('Sprint W2'!$D$4:$D$8,$A78)*3+COUNTIF('Sprint W2'!$E$4:$E$8,$A78)*2+COUNTIF('Sprint W2'!$F$4:$F$8,$A78)*1)</f>
        <v>0</v>
      </c>
      <c r="E78" s="15">
        <f>IF($A78="",0,COUNTIF('Sprint W3'!$B$4:$B$8,$A78)*5+COUNTIF('Sprint W3'!$C$4:$C$8,$A78)*4+COUNTIF('Sprint W3'!$D$4:$D$8,$A78)*3+COUNTIF('Sprint W3'!$E$4:$E$8,$A78)*2+COUNTIF('Sprint W3'!$F$4:$F$8,$A78)*1)</f>
        <v>0</v>
      </c>
      <c r="F78" s="15">
        <f>IF($A78="",0,COUNTIF('Sprint W4'!$B$4:$B$8,$A78)*5+COUNTIF('Sprint W4'!$C$4:$C$8,$A78)*4+COUNTIF('Sprint W4'!$D$4:$D$8,$A78)*3+COUNTIF('Sprint W4'!$E$4:$E$8,$A78)*2+COUNTIF('Sprint W4'!$F$4:$F$8,$A78)*1)</f>
        <v>0</v>
      </c>
      <c r="G78" s="15">
        <f>IF($A78="",0,COUNTIF('Sprint W5'!$B$4:$B$8,$A78)*5+COUNTIF('Sprint W5'!$C$4:$C$8,$A78)*4+COUNTIF('Sprint W5'!$D$4:$D$8,$A78)*3+COUNTIF('Sprint W5'!$E$4:$E$8,$A78)*2+COUNTIF('Sprint W5'!$F$4:$F$8,$A78)*1)</f>
        <v>0</v>
      </c>
      <c r="H78" s="25" t="str">
        <f t="shared" si="4"/>
        <v/>
      </c>
      <c r="I78" s="26" t="str">
        <f t="shared" si="5"/>
        <v/>
      </c>
      <c r="AA78">
        <f>'Sprint W4'!D4</f>
        <v>0</v>
      </c>
      <c r="AB78">
        <f>IF(AA78="",0,IF(COUNTIF($AA$1:AA78,AA78)=1,1,0))</f>
        <v>0</v>
      </c>
      <c r="AC78" t="str">
        <f>IF(AB78=1,COUNTIF($AB$1:AB78,1),"")</f>
        <v/>
      </c>
    </row>
    <row r="79" spans="1:29" x14ac:dyDescent="0.25">
      <c r="A79" s="13" t="str">
        <f>IFERROR(INDEX($AA$1:$AA$125,MATCH(76,$AC$1:$AC$125,0)),"")</f>
        <v/>
      </c>
      <c r="B79" s="33"/>
      <c r="C79" s="15">
        <f>IF($A79="",0,COUNTIF('Sprint W1'!$B$4:$B$8,$A79)*5+COUNTIF('Sprint W1'!$C$4:$C$8,$A79)*4+COUNTIF('Sprint W1'!$D$4:$D$8,$A79)*3+COUNTIF('Sprint W1'!$E$4:$E$8,$A79)*2+COUNTIF('Sprint W1'!$F$4:$F$8,$A79)*1)</f>
        <v>0</v>
      </c>
      <c r="D79" s="15">
        <f>IF($A79="",0,COUNTIF('Sprint W2'!$B$4:$B$8,$A79)*5+COUNTIF('Sprint W2'!$C$4:$C$8,$A79)*4+COUNTIF('Sprint W2'!$D$4:$D$8,$A79)*3+COUNTIF('Sprint W2'!$E$4:$E$8,$A79)*2+COUNTIF('Sprint W2'!$F$4:$F$8,$A79)*1)</f>
        <v>0</v>
      </c>
      <c r="E79" s="15">
        <f>IF($A79="",0,COUNTIF('Sprint W3'!$B$4:$B$8,$A79)*5+COUNTIF('Sprint W3'!$C$4:$C$8,$A79)*4+COUNTIF('Sprint W3'!$D$4:$D$8,$A79)*3+COUNTIF('Sprint W3'!$E$4:$E$8,$A79)*2+COUNTIF('Sprint W3'!$F$4:$F$8,$A79)*1)</f>
        <v>0</v>
      </c>
      <c r="F79" s="15">
        <f>IF($A79="",0,COUNTIF('Sprint W4'!$B$4:$B$8,$A79)*5+COUNTIF('Sprint W4'!$C$4:$C$8,$A79)*4+COUNTIF('Sprint W4'!$D$4:$D$8,$A79)*3+COUNTIF('Sprint W4'!$E$4:$E$8,$A79)*2+COUNTIF('Sprint W4'!$F$4:$F$8,$A79)*1)</f>
        <v>0</v>
      </c>
      <c r="G79" s="15">
        <f>IF($A79="",0,COUNTIF('Sprint W5'!$B$4:$B$8,$A79)*5+COUNTIF('Sprint W5'!$C$4:$C$8,$A79)*4+COUNTIF('Sprint W5'!$D$4:$D$8,$A79)*3+COUNTIF('Sprint W5'!$E$4:$E$8,$A79)*2+COUNTIF('Sprint W5'!$F$4:$F$8,$A79)*1)</f>
        <v>0</v>
      </c>
      <c r="H79" s="25" t="str">
        <f t="shared" si="4"/>
        <v/>
      </c>
      <c r="I79" s="26" t="str">
        <f t="shared" si="5"/>
        <v/>
      </c>
      <c r="AA79">
        <f>'Sprint W4'!E4</f>
        <v>0</v>
      </c>
      <c r="AB79">
        <f>IF(AA79="",0,IF(COUNTIF($AA$1:AA79,AA79)=1,1,0))</f>
        <v>0</v>
      </c>
      <c r="AC79" t="str">
        <f>IF(AB79=1,COUNTIF($AB$1:AB79,1),"")</f>
        <v/>
      </c>
    </row>
    <row r="80" spans="1:29" x14ac:dyDescent="0.25">
      <c r="A80" s="13" t="str">
        <f>IFERROR(INDEX($AA$1:$AA$125,MATCH(77,$AC$1:$AC$125,0)),"")</f>
        <v/>
      </c>
      <c r="B80" s="33"/>
      <c r="C80" s="15">
        <f>IF($A80="",0,COUNTIF('Sprint W1'!$B$4:$B$8,$A80)*5+COUNTIF('Sprint W1'!$C$4:$C$8,$A80)*4+COUNTIF('Sprint W1'!$D$4:$D$8,$A80)*3+COUNTIF('Sprint W1'!$E$4:$E$8,$A80)*2+COUNTIF('Sprint W1'!$F$4:$F$8,$A80)*1)</f>
        <v>0</v>
      </c>
      <c r="D80" s="15">
        <f>IF($A80="",0,COUNTIF('Sprint W2'!$B$4:$B$8,$A80)*5+COUNTIF('Sprint W2'!$C$4:$C$8,$A80)*4+COUNTIF('Sprint W2'!$D$4:$D$8,$A80)*3+COUNTIF('Sprint W2'!$E$4:$E$8,$A80)*2+COUNTIF('Sprint W2'!$F$4:$F$8,$A80)*1)</f>
        <v>0</v>
      </c>
      <c r="E80" s="15">
        <f>IF($A80="",0,COUNTIF('Sprint W3'!$B$4:$B$8,$A80)*5+COUNTIF('Sprint W3'!$C$4:$C$8,$A80)*4+COUNTIF('Sprint W3'!$D$4:$D$8,$A80)*3+COUNTIF('Sprint W3'!$E$4:$E$8,$A80)*2+COUNTIF('Sprint W3'!$F$4:$F$8,$A80)*1)</f>
        <v>0</v>
      </c>
      <c r="F80" s="15">
        <f>IF($A80="",0,COUNTIF('Sprint W4'!$B$4:$B$8,$A80)*5+COUNTIF('Sprint W4'!$C$4:$C$8,$A80)*4+COUNTIF('Sprint W4'!$D$4:$D$8,$A80)*3+COUNTIF('Sprint W4'!$E$4:$E$8,$A80)*2+COUNTIF('Sprint W4'!$F$4:$F$8,$A80)*1)</f>
        <v>0</v>
      </c>
      <c r="G80" s="15">
        <f>IF($A80="",0,COUNTIF('Sprint W5'!$B$4:$B$8,$A80)*5+COUNTIF('Sprint W5'!$C$4:$C$8,$A80)*4+COUNTIF('Sprint W5'!$D$4:$D$8,$A80)*3+COUNTIF('Sprint W5'!$E$4:$E$8,$A80)*2+COUNTIF('Sprint W5'!$F$4:$F$8,$A80)*1)</f>
        <v>0</v>
      </c>
      <c r="H80" s="25" t="str">
        <f t="shared" si="4"/>
        <v/>
      </c>
      <c r="I80" s="26" t="str">
        <f t="shared" si="5"/>
        <v/>
      </c>
      <c r="AA80">
        <f>'Sprint W4'!F4</f>
        <v>0</v>
      </c>
      <c r="AB80">
        <f>IF(AA80="",0,IF(COUNTIF($AA$1:AA80,AA80)=1,1,0))</f>
        <v>0</v>
      </c>
      <c r="AC80" t="str">
        <f>IF(AB80=1,COUNTIF($AB$1:AB80,1),"")</f>
        <v/>
      </c>
    </row>
    <row r="81" spans="1:29" x14ac:dyDescent="0.25">
      <c r="A81" s="13" t="str">
        <f>IFERROR(INDEX($AA$1:$AA$125,MATCH(78,$AC$1:$AC$125,0)),"")</f>
        <v/>
      </c>
      <c r="B81" s="33"/>
      <c r="C81" s="15">
        <f>IF($A81="",0,COUNTIF('Sprint W1'!$B$4:$B$8,$A81)*5+COUNTIF('Sprint W1'!$C$4:$C$8,$A81)*4+COUNTIF('Sprint W1'!$D$4:$D$8,$A81)*3+COUNTIF('Sprint W1'!$E$4:$E$8,$A81)*2+COUNTIF('Sprint W1'!$F$4:$F$8,$A81)*1)</f>
        <v>0</v>
      </c>
      <c r="D81" s="15">
        <f>IF($A81="",0,COUNTIF('Sprint W2'!$B$4:$B$8,$A81)*5+COUNTIF('Sprint W2'!$C$4:$C$8,$A81)*4+COUNTIF('Sprint W2'!$D$4:$D$8,$A81)*3+COUNTIF('Sprint W2'!$E$4:$E$8,$A81)*2+COUNTIF('Sprint W2'!$F$4:$F$8,$A81)*1)</f>
        <v>0</v>
      </c>
      <c r="E81" s="15">
        <f>IF($A81="",0,COUNTIF('Sprint W3'!$B$4:$B$8,$A81)*5+COUNTIF('Sprint W3'!$C$4:$C$8,$A81)*4+COUNTIF('Sprint W3'!$D$4:$D$8,$A81)*3+COUNTIF('Sprint W3'!$E$4:$E$8,$A81)*2+COUNTIF('Sprint W3'!$F$4:$F$8,$A81)*1)</f>
        <v>0</v>
      </c>
      <c r="F81" s="15">
        <f>IF($A81="",0,COUNTIF('Sprint W4'!$B$4:$B$8,$A81)*5+COUNTIF('Sprint W4'!$C$4:$C$8,$A81)*4+COUNTIF('Sprint W4'!$D$4:$D$8,$A81)*3+COUNTIF('Sprint W4'!$E$4:$E$8,$A81)*2+COUNTIF('Sprint W4'!$F$4:$F$8,$A81)*1)</f>
        <v>0</v>
      </c>
      <c r="G81" s="15">
        <f>IF($A81="",0,COUNTIF('Sprint W5'!$B$4:$B$8,$A81)*5+COUNTIF('Sprint W5'!$C$4:$C$8,$A81)*4+COUNTIF('Sprint W5'!$D$4:$D$8,$A81)*3+COUNTIF('Sprint W5'!$E$4:$E$8,$A81)*2+COUNTIF('Sprint W5'!$F$4:$F$8,$A81)*1)</f>
        <v>0</v>
      </c>
      <c r="H81" s="25" t="str">
        <f t="shared" si="4"/>
        <v/>
      </c>
      <c r="I81" s="26" t="str">
        <f t="shared" si="5"/>
        <v/>
      </c>
      <c r="AA81">
        <f>'Sprint W4'!B5</f>
        <v>0</v>
      </c>
      <c r="AB81">
        <f>IF(AA81="",0,IF(COUNTIF($AA$1:AA81,AA81)=1,1,0))</f>
        <v>0</v>
      </c>
      <c r="AC81" t="str">
        <f>IF(AB81=1,COUNTIF($AB$1:AB81,1),"")</f>
        <v/>
      </c>
    </row>
    <row r="82" spans="1:29" x14ac:dyDescent="0.25">
      <c r="A82" s="13" t="str">
        <f>IFERROR(INDEX($AA$1:$AA$125,MATCH(79,$AC$1:$AC$125,0)),"")</f>
        <v/>
      </c>
      <c r="B82" s="33"/>
      <c r="C82" s="15">
        <f>IF($A82="",0,COUNTIF('Sprint W1'!$B$4:$B$8,$A82)*5+COUNTIF('Sprint W1'!$C$4:$C$8,$A82)*4+COUNTIF('Sprint W1'!$D$4:$D$8,$A82)*3+COUNTIF('Sprint W1'!$E$4:$E$8,$A82)*2+COUNTIF('Sprint W1'!$F$4:$F$8,$A82)*1)</f>
        <v>0</v>
      </c>
      <c r="D82" s="15">
        <f>IF($A82="",0,COUNTIF('Sprint W2'!$B$4:$B$8,$A82)*5+COUNTIF('Sprint W2'!$C$4:$C$8,$A82)*4+COUNTIF('Sprint W2'!$D$4:$D$8,$A82)*3+COUNTIF('Sprint W2'!$E$4:$E$8,$A82)*2+COUNTIF('Sprint W2'!$F$4:$F$8,$A82)*1)</f>
        <v>0</v>
      </c>
      <c r="E82" s="15">
        <f>IF($A82="",0,COUNTIF('Sprint W3'!$B$4:$B$8,$A82)*5+COUNTIF('Sprint W3'!$C$4:$C$8,$A82)*4+COUNTIF('Sprint W3'!$D$4:$D$8,$A82)*3+COUNTIF('Sprint W3'!$E$4:$E$8,$A82)*2+COUNTIF('Sprint W3'!$F$4:$F$8,$A82)*1)</f>
        <v>0</v>
      </c>
      <c r="F82" s="15">
        <f>IF($A82="",0,COUNTIF('Sprint W4'!$B$4:$B$8,$A82)*5+COUNTIF('Sprint W4'!$C$4:$C$8,$A82)*4+COUNTIF('Sprint W4'!$D$4:$D$8,$A82)*3+COUNTIF('Sprint W4'!$E$4:$E$8,$A82)*2+COUNTIF('Sprint W4'!$F$4:$F$8,$A82)*1)</f>
        <v>0</v>
      </c>
      <c r="G82" s="15">
        <f>IF($A82="",0,COUNTIF('Sprint W5'!$B$4:$B$8,$A82)*5+COUNTIF('Sprint W5'!$C$4:$C$8,$A82)*4+COUNTIF('Sprint W5'!$D$4:$D$8,$A82)*3+COUNTIF('Sprint W5'!$E$4:$E$8,$A82)*2+COUNTIF('Sprint W5'!$F$4:$F$8,$A82)*1)</f>
        <v>0</v>
      </c>
      <c r="H82" s="25" t="str">
        <f t="shared" si="4"/>
        <v/>
      </c>
      <c r="I82" s="26" t="str">
        <f t="shared" si="5"/>
        <v/>
      </c>
      <c r="AA82">
        <f>'Sprint W4'!C5</f>
        <v>0</v>
      </c>
      <c r="AB82">
        <f>IF(AA82="",0,IF(COUNTIF($AA$1:AA82,AA82)=1,1,0))</f>
        <v>0</v>
      </c>
      <c r="AC82" t="str">
        <f>IF(AB82=1,COUNTIF($AB$1:AB82,1),"")</f>
        <v/>
      </c>
    </row>
    <row r="83" spans="1:29" x14ac:dyDescent="0.25">
      <c r="A83" s="13" t="str">
        <f>IFERROR(INDEX($AA$1:$AA$125,MATCH(80,$AC$1:$AC$125,0)),"")</f>
        <v/>
      </c>
      <c r="B83" s="33"/>
      <c r="C83" s="15">
        <f>IF($A83="",0,COUNTIF('Sprint W1'!$B$4:$B$8,$A83)*5+COUNTIF('Sprint W1'!$C$4:$C$8,$A83)*4+COUNTIF('Sprint W1'!$D$4:$D$8,$A83)*3+COUNTIF('Sprint W1'!$E$4:$E$8,$A83)*2+COUNTIF('Sprint W1'!$F$4:$F$8,$A83)*1)</f>
        <v>0</v>
      </c>
      <c r="D83" s="15">
        <f>IF($A83="",0,COUNTIF('Sprint W2'!$B$4:$B$8,$A83)*5+COUNTIF('Sprint W2'!$C$4:$C$8,$A83)*4+COUNTIF('Sprint W2'!$D$4:$D$8,$A83)*3+COUNTIF('Sprint W2'!$E$4:$E$8,$A83)*2+COUNTIF('Sprint W2'!$F$4:$F$8,$A83)*1)</f>
        <v>0</v>
      </c>
      <c r="E83" s="15">
        <f>IF($A83="",0,COUNTIF('Sprint W3'!$B$4:$B$8,$A83)*5+COUNTIF('Sprint W3'!$C$4:$C$8,$A83)*4+COUNTIF('Sprint W3'!$D$4:$D$8,$A83)*3+COUNTIF('Sprint W3'!$E$4:$E$8,$A83)*2+COUNTIF('Sprint W3'!$F$4:$F$8,$A83)*1)</f>
        <v>0</v>
      </c>
      <c r="F83" s="15">
        <f>IF($A83="",0,COUNTIF('Sprint W4'!$B$4:$B$8,$A83)*5+COUNTIF('Sprint W4'!$C$4:$C$8,$A83)*4+COUNTIF('Sprint W4'!$D$4:$D$8,$A83)*3+COUNTIF('Sprint W4'!$E$4:$E$8,$A83)*2+COUNTIF('Sprint W4'!$F$4:$F$8,$A83)*1)</f>
        <v>0</v>
      </c>
      <c r="G83" s="15">
        <f>IF($A83="",0,COUNTIF('Sprint W5'!$B$4:$B$8,$A83)*5+COUNTIF('Sprint W5'!$C$4:$C$8,$A83)*4+COUNTIF('Sprint W5'!$D$4:$D$8,$A83)*3+COUNTIF('Sprint W5'!$E$4:$E$8,$A83)*2+COUNTIF('Sprint W5'!$F$4:$F$8,$A83)*1)</f>
        <v>0</v>
      </c>
      <c r="H83" s="25" t="str">
        <f t="shared" si="4"/>
        <v/>
      </c>
      <c r="I83" s="26" t="str">
        <f t="shared" si="5"/>
        <v/>
      </c>
      <c r="AA83">
        <f>'Sprint W4'!D5</f>
        <v>0</v>
      </c>
      <c r="AB83">
        <f>IF(AA83="",0,IF(COUNTIF($AA$1:AA83,AA83)=1,1,0))</f>
        <v>0</v>
      </c>
      <c r="AC83" t="str">
        <f>IF(AB83=1,COUNTIF($AB$1:AB83,1),"")</f>
        <v/>
      </c>
    </row>
    <row r="84" spans="1:29" x14ac:dyDescent="0.25">
      <c r="A84" s="13" t="str">
        <f>IFERROR(INDEX($AA$1:$AA$125,MATCH(81,$AC$1:$AC$125,0)),"")</f>
        <v/>
      </c>
      <c r="B84" s="33"/>
      <c r="C84" s="15">
        <f>IF($A84="",0,COUNTIF('Sprint W1'!$B$4:$B$8,$A84)*5+COUNTIF('Sprint W1'!$C$4:$C$8,$A84)*4+COUNTIF('Sprint W1'!$D$4:$D$8,$A84)*3+COUNTIF('Sprint W1'!$E$4:$E$8,$A84)*2+COUNTIF('Sprint W1'!$F$4:$F$8,$A84)*1)</f>
        <v>0</v>
      </c>
      <c r="D84" s="15">
        <f>IF($A84="",0,COUNTIF('Sprint W2'!$B$4:$B$8,$A84)*5+COUNTIF('Sprint W2'!$C$4:$C$8,$A84)*4+COUNTIF('Sprint W2'!$D$4:$D$8,$A84)*3+COUNTIF('Sprint W2'!$E$4:$E$8,$A84)*2+COUNTIF('Sprint W2'!$F$4:$F$8,$A84)*1)</f>
        <v>0</v>
      </c>
      <c r="E84" s="15">
        <f>IF($A84="",0,COUNTIF('Sprint W3'!$B$4:$B$8,$A84)*5+COUNTIF('Sprint W3'!$C$4:$C$8,$A84)*4+COUNTIF('Sprint W3'!$D$4:$D$8,$A84)*3+COUNTIF('Sprint W3'!$E$4:$E$8,$A84)*2+COUNTIF('Sprint W3'!$F$4:$F$8,$A84)*1)</f>
        <v>0</v>
      </c>
      <c r="F84" s="15">
        <f>IF($A84="",0,COUNTIF('Sprint W4'!$B$4:$B$8,$A84)*5+COUNTIF('Sprint W4'!$C$4:$C$8,$A84)*4+COUNTIF('Sprint W4'!$D$4:$D$8,$A84)*3+COUNTIF('Sprint W4'!$E$4:$E$8,$A84)*2+COUNTIF('Sprint W4'!$F$4:$F$8,$A84)*1)</f>
        <v>0</v>
      </c>
      <c r="G84" s="15">
        <f>IF($A84="",0,COUNTIF('Sprint W5'!$B$4:$B$8,$A84)*5+COUNTIF('Sprint W5'!$C$4:$C$8,$A84)*4+COUNTIF('Sprint W5'!$D$4:$D$8,$A84)*3+COUNTIF('Sprint W5'!$E$4:$E$8,$A84)*2+COUNTIF('Sprint W5'!$F$4:$F$8,$A84)*1)</f>
        <v>0</v>
      </c>
      <c r="H84" s="25" t="str">
        <f t="shared" si="4"/>
        <v/>
      </c>
      <c r="I84" s="26" t="str">
        <f t="shared" si="5"/>
        <v/>
      </c>
      <c r="AA84">
        <f>'Sprint W4'!E5</f>
        <v>0</v>
      </c>
      <c r="AB84">
        <f>IF(AA84="",0,IF(COUNTIF($AA$1:AA84,AA84)=1,1,0))</f>
        <v>0</v>
      </c>
      <c r="AC84" t="str">
        <f>IF(AB84=1,COUNTIF($AB$1:AB84,1),"")</f>
        <v/>
      </c>
    </row>
    <row r="85" spans="1:29" x14ac:dyDescent="0.25">
      <c r="A85" s="13" t="str">
        <f>IFERROR(INDEX($AA$1:$AA$125,MATCH(82,$AC$1:$AC$125,0)),"")</f>
        <v/>
      </c>
      <c r="B85" s="33"/>
      <c r="C85" s="15">
        <f>IF($A85="",0,COUNTIF('Sprint W1'!$B$4:$B$8,$A85)*5+COUNTIF('Sprint W1'!$C$4:$C$8,$A85)*4+COUNTIF('Sprint W1'!$D$4:$D$8,$A85)*3+COUNTIF('Sprint W1'!$E$4:$E$8,$A85)*2+COUNTIF('Sprint W1'!$F$4:$F$8,$A85)*1)</f>
        <v>0</v>
      </c>
      <c r="D85" s="15">
        <f>IF($A85="",0,COUNTIF('Sprint W2'!$B$4:$B$8,$A85)*5+COUNTIF('Sprint W2'!$C$4:$C$8,$A85)*4+COUNTIF('Sprint W2'!$D$4:$D$8,$A85)*3+COUNTIF('Sprint W2'!$E$4:$E$8,$A85)*2+COUNTIF('Sprint W2'!$F$4:$F$8,$A85)*1)</f>
        <v>0</v>
      </c>
      <c r="E85" s="15">
        <f>IF($A85="",0,COUNTIF('Sprint W3'!$B$4:$B$8,$A85)*5+COUNTIF('Sprint W3'!$C$4:$C$8,$A85)*4+COUNTIF('Sprint W3'!$D$4:$D$8,$A85)*3+COUNTIF('Sprint W3'!$E$4:$E$8,$A85)*2+COUNTIF('Sprint W3'!$F$4:$F$8,$A85)*1)</f>
        <v>0</v>
      </c>
      <c r="F85" s="15">
        <f>IF($A85="",0,COUNTIF('Sprint W4'!$B$4:$B$8,$A85)*5+COUNTIF('Sprint W4'!$C$4:$C$8,$A85)*4+COUNTIF('Sprint W4'!$D$4:$D$8,$A85)*3+COUNTIF('Sprint W4'!$E$4:$E$8,$A85)*2+COUNTIF('Sprint W4'!$F$4:$F$8,$A85)*1)</f>
        <v>0</v>
      </c>
      <c r="G85" s="15">
        <f>IF($A85="",0,COUNTIF('Sprint W5'!$B$4:$B$8,$A85)*5+COUNTIF('Sprint W5'!$C$4:$C$8,$A85)*4+COUNTIF('Sprint W5'!$D$4:$D$8,$A85)*3+COUNTIF('Sprint W5'!$E$4:$E$8,$A85)*2+COUNTIF('Sprint W5'!$F$4:$F$8,$A85)*1)</f>
        <v>0</v>
      </c>
      <c r="H85" s="25" t="str">
        <f t="shared" si="4"/>
        <v/>
      </c>
      <c r="I85" s="26" t="str">
        <f t="shared" si="5"/>
        <v/>
      </c>
      <c r="AA85">
        <f>'Sprint W4'!F5</f>
        <v>0</v>
      </c>
      <c r="AB85">
        <f>IF(AA85="",0,IF(COUNTIF($AA$1:AA85,AA85)=1,1,0))</f>
        <v>0</v>
      </c>
      <c r="AC85" t="str">
        <f>IF(AB85=1,COUNTIF($AB$1:AB85,1),"")</f>
        <v/>
      </c>
    </row>
    <row r="86" spans="1:29" x14ac:dyDescent="0.25">
      <c r="A86" s="13" t="str">
        <f>IFERROR(INDEX($AA$1:$AA$125,MATCH(83,$AC$1:$AC$125,0)),"")</f>
        <v/>
      </c>
      <c r="B86" s="33"/>
      <c r="C86" s="15">
        <f>IF($A86="",0,COUNTIF('Sprint W1'!$B$4:$B$8,$A86)*5+COUNTIF('Sprint W1'!$C$4:$C$8,$A86)*4+COUNTIF('Sprint W1'!$D$4:$D$8,$A86)*3+COUNTIF('Sprint W1'!$E$4:$E$8,$A86)*2+COUNTIF('Sprint W1'!$F$4:$F$8,$A86)*1)</f>
        <v>0</v>
      </c>
      <c r="D86" s="15">
        <f>IF($A86="",0,COUNTIF('Sprint W2'!$B$4:$B$8,$A86)*5+COUNTIF('Sprint W2'!$C$4:$C$8,$A86)*4+COUNTIF('Sprint W2'!$D$4:$D$8,$A86)*3+COUNTIF('Sprint W2'!$E$4:$E$8,$A86)*2+COUNTIF('Sprint W2'!$F$4:$F$8,$A86)*1)</f>
        <v>0</v>
      </c>
      <c r="E86" s="15">
        <f>IF($A86="",0,COUNTIF('Sprint W3'!$B$4:$B$8,$A86)*5+COUNTIF('Sprint W3'!$C$4:$C$8,$A86)*4+COUNTIF('Sprint W3'!$D$4:$D$8,$A86)*3+COUNTIF('Sprint W3'!$E$4:$E$8,$A86)*2+COUNTIF('Sprint W3'!$F$4:$F$8,$A86)*1)</f>
        <v>0</v>
      </c>
      <c r="F86" s="15">
        <f>IF($A86="",0,COUNTIF('Sprint W4'!$B$4:$B$8,$A86)*5+COUNTIF('Sprint W4'!$C$4:$C$8,$A86)*4+COUNTIF('Sprint W4'!$D$4:$D$8,$A86)*3+COUNTIF('Sprint W4'!$E$4:$E$8,$A86)*2+COUNTIF('Sprint W4'!$F$4:$F$8,$A86)*1)</f>
        <v>0</v>
      </c>
      <c r="G86" s="15">
        <f>IF($A86="",0,COUNTIF('Sprint W5'!$B$4:$B$8,$A86)*5+COUNTIF('Sprint W5'!$C$4:$C$8,$A86)*4+COUNTIF('Sprint W5'!$D$4:$D$8,$A86)*3+COUNTIF('Sprint W5'!$E$4:$E$8,$A86)*2+COUNTIF('Sprint W5'!$F$4:$F$8,$A86)*1)</f>
        <v>0</v>
      </c>
      <c r="H86" s="25" t="str">
        <f t="shared" si="4"/>
        <v/>
      </c>
      <c r="I86" s="26" t="str">
        <f t="shared" si="5"/>
        <v/>
      </c>
      <c r="AA86">
        <f>'Sprint W4'!B6</f>
        <v>0</v>
      </c>
      <c r="AB86">
        <f>IF(AA86="",0,IF(COUNTIF($AA$1:AA86,AA86)=1,1,0))</f>
        <v>0</v>
      </c>
      <c r="AC86" t="str">
        <f>IF(AB86=1,COUNTIF($AB$1:AB86,1),"")</f>
        <v/>
      </c>
    </row>
    <row r="87" spans="1:29" x14ac:dyDescent="0.25">
      <c r="A87" s="13" t="str">
        <f>IFERROR(INDEX($AA$1:$AA$125,MATCH(84,$AC$1:$AC$125,0)),"")</f>
        <v/>
      </c>
      <c r="B87" s="33"/>
      <c r="C87" s="15">
        <f>IF($A87="",0,COUNTIF('Sprint W1'!$B$4:$B$8,$A87)*5+COUNTIF('Sprint W1'!$C$4:$C$8,$A87)*4+COUNTIF('Sprint W1'!$D$4:$D$8,$A87)*3+COUNTIF('Sprint W1'!$E$4:$E$8,$A87)*2+COUNTIF('Sprint W1'!$F$4:$F$8,$A87)*1)</f>
        <v>0</v>
      </c>
      <c r="D87" s="15">
        <f>IF($A87="",0,COUNTIF('Sprint W2'!$B$4:$B$8,$A87)*5+COUNTIF('Sprint W2'!$C$4:$C$8,$A87)*4+COUNTIF('Sprint W2'!$D$4:$D$8,$A87)*3+COUNTIF('Sprint W2'!$E$4:$E$8,$A87)*2+COUNTIF('Sprint W2'!$F$4:$F$8,$A87)*1)</f>
        <v>0</v>
      </c>
      <c r="E87" s="15">
        <f>IF($A87="",0,COUNTIF('Sprint W3'!$B$4:$B$8,$A87)*5+COUNTIF('Sprint W3'!$C$4:$C$8,$A87)*4+COUNTIF('Sprint W3'!$D$4:$D$8,$A87)*3+COUNTIF('Sprint W3'!$E$4:$E$8,$A87)*2+COUNTIF('Sprint W3'!$F$4:$F$8,$A87)*1)</f>
        <v>0</v>
      </c>
      <c r="F87" s="15">
        <f>IF($A87="",0,COUNTIF('Sprint W4'!$B$4:$B$8,$A87)*5+COUNTIF('Sprint W4'!$C$4:$C$8,$A87)*4+COUNTIF('Sprint W4'!$D$4:$D$8,$A87)*3+COUNTIF('Sprint W4'!$E$4:$E$8,$A87)*2+COUNTIF('Sprint W4'!$F$4:$F$8,$A87)*1)</f>
        <v>0</v>
      </c>
      <c r="G87" s="15">
        <f>IF($A87="",0,COUNTIF('Sprint W5'!$B$4:$B$8,$A87)*5+COUNTIF('Sprint W5'!$C$4:$C$8,$A87)*4+COUNTIF('Sprint W5'!$D$4:$D$8,$A87)*3+COUNTIF('Sprint W5'!$E$4:$E$8,$A87)*2+COUNTIF('Sprint W5'!$F$4:$F$8,$A87)*1)</f>
        <v>0</v>
      </c>
      <c r="H87" s="25" t="str">
        <f t="shared" si="4"/>
        <v/>
      </c>
      <c r="I87" s="26" t="str">
        <f t="shared" si="5"/>
        <v/>
      </c>
      <c r="AA87">
        <f>'Sprint W4'!C6</f>
        <v>0</v>
      </c>
      <c r="AB87">
        <f>IF(AA87="",0,IF(COUNTIF($AA$1:AA87,AA87)=1,1,0))</f>
        <v>0</v>
      </c>
      <c r="AC87" t="str">
        <f>IF(AB87=1,COUNTIF($AB$1:AB87,1),"")</f>
        <v/>
      </c>
    </row>
    <row r="88" spans="1:29" x14ac:dyDescent="0.25">
      <c r="A88" s="13" t="str">
        <f>IFERROR(INDEX($AA$1:$AA$125,MATCH(85,$AC$1:$AC$125,0)),"")</f>
        <v/>
      </c>
      <c r="B88" s="33"/>
      <c r="C88" s="15">
        <f>IF($A88="",0,COUNTIF('Sprint W1'!$B$4:$B$8,$A88)*5+COUNTIF('Sprint W1'!$C$4:$C$8,$A88)*4+COUNTIF('Sprint W1'!$D$4:$D$8,$A88)*3+COUNTIF('Sprint W1'!$E$4:$E$8,$A88)*2+COUNTIF('Sprint W1'!$F$4:$F$8,$A88)*1)</f>
        <v>0</v>
      </c>
      <c r="D88" s="15">
        <f>IF($A88="",0,COUNTIF('Sprint W2'!$B$4:$B$8,$A88)*5+COUNTIF('Sprint W2'!$C$4:$C$8,$A88)*4+COUNTIF('Sprint W2'!$D$4:$D$8,$A88)*3+COUNTIF('Sprint W2'!$E$4:$E$8,$A88)*2+COUNTIF('Sprint W2'!$F$4:$F$8,$A88)*1)</f>
        <v>0</v>
      </c>
      <c r="E88" s="15">
        <f>IF($A88="",0,COUNTIF('Sprint W3'!$B$4:$B$8,$A88)*5+COUNTIF('Sprint W3'!$C$4:$C$8,$A88)*4+COUNTIF('Sprint W3'!$D$4:$D$8,$A88)*3+COUNTIF('Sprint W3'!$E$4:$E$8,$A88)*2+COUNTIF('Sprint W3'!$F$4:$F$8,$A88)*1)</f>
        <v>0</v>
      </c>
      <c r="F88" s="15">
        <f>IF($A88="",0,COUNTIF('Sprint W4'!$B$4:$B$8,$A88)*5+COUNTIF('Sprint W4'!$C$4:$C$8,$A88)*4+COUNTIF('Sprint W4'!$D$4:$D$8,$A88)*3+COUNTIF('Sprint W4'!$E$4:$E$8,$A88)*2+COUNTIF('Sprint W4'!$F$4:$F$8,$A88)*1)</f>
        <v>0</v>
      </c>
      <c r="G88" s="15">
        <f>IF($A88="",0,COUNTIF('Sprint W5'!$B$4:$B$8,$A88)*5+COUNTIF('Sprint W5'!$C$4:$C$8,$A88)*4+COUNTIF('Sprint W5'!$D$4:$D$8,$A88)*3+COUNTIF('Sprint W5'!$E$4:$E$8,$A88)*2+COUNTIF('Sprint W5'!$F$4:$F$8,$A88)*1)</f>
        <v>0</v>
      </c>
      <c r="H88" s="25" t="str">
        <f t="shared" si="4"/>
        <v/>
      </c>
      <c r="I88" s="26" t="str">
        <f t="shared" si="5"/>
        <v/>
      </c>
      <c r="AA88">
        <f>'Sprint W4'!D6</f>
        <v>0</v>
      </c>
      <c r="AB88">
        <f>IF(AA88="",0,IF(COUNTIF($AA$1:AA88,AA88)=1,1,0))</f>
        <v>0</v>
      </c>
      <c r="AC88" t="str">
        <f>IF(AB88=1,COUNTIF($AB$1:AB88,1),"")</f>
        <v/>
      </c>
    </row>
    <row r="89" spans="1:29" x14ac:dyDescent="0.25">
      <c r="A89" s="13" t="str">
        <f>IFERROR(INDEX($AA$1:$AA$125,MATCH(86,$AC$1:$AC$125,0)),"")</f>
        <v/>
      </c>
      <c r="B89" s="33"/>
      <c r="C89" s="15">
        <f>IF($A89="",0,COUNTIF('Sprint W1'!$B$4:$B$8,$A89)*5+COUNTIF('Sprint W1'!$C$4:$C$8,$A89)*4+COUNTIF('Sprint W1'!$D$4:$D$8,$A89)*3+COUNTIF('Sprint W1'!$E$4:$E$8,$A89)*2+COUNTIF('Sprint W1'!$F$4:$F$8,$A89)*1)</f>
        <v>0</v>
      </c>
      <c r="D89" s="15">
        <f>IF($A89="",0,COUNTIF('Sprint W2'!$B$4:$B$8,$A89)*5+COUNTIF('Sprint W2'!$C$4:$C$8,$A89)*4+COUNTIF('Sprint W2'!$D$4:$D$8,$A89)*3+COUNTIF('Sprint W2'!$E$4:$E$8,$A89)*2+COUNTIF('Sprint W2'!$F$4:$F$8,$A89)*1)</f>
        <v>0</v>
      </c>
      <c r="E89" s="15">
        <f>IF($A89="",0,COUNTIF('Sprint W3'!$B$4:$B$8,$A89)*5+COUNTIF('Sprint W3'!$C$4:$C$8,$A89)*4+COUNTIF('Sprint W3'!$D$4:$D$8,$A89)*3+COUNTIF('Sprint W3'!$E$4:$E$8,$A89)*2+COUNTIF('Sprint W3'!$F$4:$F$8,$A89)*1)</f>
        <v>0</v>
      </c>
      <c r="F89" s="15">
        <f>IF($A89="",0,COUNTIF('Sprint W4'!$B$4:$B$8,$A89)*5+COUNTIF('Sprint W4'!$C$4:$C$8,$A89)*4+COUNTIF('Sprint W4'!$D$4:$D$8,$A89)*3+COUNTIF('Sprint W4'!$E$4:$E$8,$A89)*2+COUNTIF('Sprint W4'!$F$4:$F$8,$A89)*1)</f>
        <v>0</v>
      </c>
      <c r="G89" s="15">
        <f>IF($A89="",0,COUNTIF('Sprint W5'!$B$4:$B$8,$A89)*5+COUNTIF('Sprint W5'!$C$4:$C$8,$A89)*4+COUNTIF('Sprint W5'!$D$4:$D$8,$A89)*3+COUNTIF('Sprint W5'!$E$4:$E$8,$A89)*2+COUNTIF('Sprint W5'!$F$4:$F$8,$A89)*1)</f>
        <v>0</v>
      </c>
      <c r="H89" s="25" t="str">
        <f t="shared" si="4"/>
        <v/>
      </c>
      <c r="I89" s="26" t="str">
        <f t="shared" si="5"/>
        <v/>
      </c>
      <c r="AA89">
        <f>'Sprint W4'!E6</f>
        <v>0</v>
      </c>
      <c r="AB89">
        <f>IF(AA89="",0,IF(COUNTIF($AA$1:AA89,AA89)=1,1,0))</f>
        <v>0</v>
      </c>
      <c r="AC89" t="str">
        <f>IF(AB89=1,COUNTIF($AB$1:AB89,1),"")</f>
        <v/>
      </c>
    </row>
    <row r="90" spans="1:29" x14ac:dyDescent="0.25">
      <c r="A90" s="13" t="str">
        <f>IFERROR(INDEX($AA$1:$AA$125,MATCH(87,$AC$1:$AC$125,0)),"")</f>
        <v/>
      </c>
      <c r="B90" s="33"/>
      <c r="C90" s="15">
        <f>IF($A90="",0,COUNTIF('Sprint W1'!$B$4:$B$8,$A90)*5+COUNTIF('Sprint W1'!$C$4:$C$8,$A90)*4+COUNTIF('Sprint W1'!$D$4:$D$8,$A90)*3+COUNTIF('Sprint W1'!$E$4:$E$8,$A90)*2+COUNTIF('Sprint W1'!$F$4:$F$8,$A90)*1)</f>
        <v>0</v>
      </c>
      <c r="D90" s="15">
        <f>IF($A90="",0,COUNTIF('Sprint W2'!$B$4:$B$8,$A90)*5+COUNTIF('Sprint W2'!$C$4:$C$8,$A90)*4+COUNTIF('Sprint W2'!$D$4:$D$8,$A90)*3+COUNTIF('Sprint W2'!$E$4:$E$8,$A90)*2+COUNTIF('Sprint W2'!$F$4:$F$8,$A90)*1)</f>
        <v>0</v>
      </c>
      <c r="E90" s="15">
        <f>IF($A90="",0,COUNTIF('Sprint W3'!$B$4:$B$8,$A90)*5+COUNTIF('Sprint W3'!$C$4:$C$8,$A90)*4+COUNTIF('Sprint W3'!$D$4:$D$8,$A90)*3+COUNTIF('Sprint W3'!$E$4:$E$8,$A90)*2+COUNTIF('Sprint W3'!$F$4:$F$8,$A90)*1)</f>
        <v>0</v>
      </c>
      <c r="F90" s="15">
        <f>IF($A90="",0,COUNTIF('Sprint W4'!$B$4:$B$8,$A90)*5+COUNTIF('Sprint W4'!$C$4:$C$8,$A90)*4+COUNTIF('Sprint W4'!$D$4:$D$8,$A90)*3+COUNTIF('Sprint W4'!$E$4:$E$8,$A90)*2+COUNTIF('Sprint W4'!$F$4:$F$8,$A90)*1)</f>
        <v>0</v>
      </c>
      <c r="G90" s="15">
        <f>IF($A90="",0,COUNTIF('Sprint W5'!$B$4:$B$8,$A90)*5+COUNTIF('Sprint W5'!$C$4:$C$8,$A90)*4+COUNTIF('Sprint W5'!$D$4:$D$8,$A90)*3+COUNTIF('Sprint W5'!$E$4:$E$8,$A90)*2+COUNTIF('Sprint W5'!$F$4:$F$8,$A90)*1)</f>
        <v>0</v>
      </c>
      <c r="H90" s="25" t="str">
        <f t="shared" si="4"/>
        <v/>
      </c>
      <c r="I90" s="26" t="str">
        <f t="shared" si="5"/>
        <v/>
      </c>
      <c r="AA90">
        <f>'Sprint W4'!F6</f>
        <v>0</v>
      </c>
      <c r="AB90">
        <f>IF(AA90="",0,IF(COUNTIF($AA$1:AA90,AA90)=1,1,0))</f>
        <v>0</v>
      </c>
      <c r="AC90" t="str">
        <f>IF(AB90=1,COUNTIF($AB$1:AB90,1),"")</f>
        <v/>
      </c>
    </row>
    <row r="91" spans="1:29" x14ac:dyDescent="0.25">
      <c r="A91" s="13" t="str">
        <f>IFERROR(INDEX($AA$1:$AA$125,MATCH(88,$AC$1:$AC$125,0)),"")</f>
        <v/>
      </c>
      <c r="B91" s="33"/>
      <c r="C91" s="15">
        <f>IF($A91="",0,COUNTIF('Sprint W1'!$B$4:$B$8,$A91)*5+COUNTIF('Sprint W1'!$C$4:$C$8,$A91)*4+COUNTIF('Sprint W1'!$D$4:$D$8,$A91)*3+COUNTIF('Sprint W1'!$E$4:$E$8,$A91)*2+COUNTIF('Sprint W1'!$F$4:$F$8,$A91)*1)</f>
        <v>0</v>
      </c>
      <c r="D91" s="15">
        <f>IF($A91="",0,COUNTIF('Sprint W2'!$B$4:$B$8,$A91)*5+COUNTIF('Sprint W2'!$C$4:$C$8,$A91)*4+COUNTIF('Sprint W2'!$D$4:$D$8,$A91)*3+COUNTIF('Sprint W2'!$E$4:$E$8,$A91)*2+COUNTIF('Sprint W2'!$F$4:$F$8,$A91)*1)</f>
        <v>0</v>
      </c>
      <c r="E91" s="15">
        <f>IF($A91="",0,COUNTIF('Sprint W3'!$B$4:$B$8,$A91)*5+COUNTIF('Sprint W3'!$C$4:$C$8,$A91)*4+COUNTIF('Sprint W3'!$D$4:$D$8,$A91)*3+COUNTIF('Sprint W3'!$E$4:$E$8,$A91)*2+COUNTIF('Sprint W3'!$F$4:$F$8,$A91)*1)</f>
        <v>0</v>
      </c>
      <c r="F91" s="15">
        <f>IF($A91="",0,COUNTIF('Sprint W4'!$B$4:$B$8,$A91)*5+COUNTIF('Sprint W4'!$C$4:$C$8,$A91)*4+COUNTIF('Sprint W4'!$D$4:$D$8,$A91)*3+COUNTIF('Sprint W4'!$E$4:$E$8,$A91)*2+COUNTIF('Sprint W4'!$F$4:$F$8,$A91)*1)</f>
        <v>0</v>
      </c>
      <c r="G91" s="15">
        <f>IF($A91="",0,COUNTIF('Sprint W5'!$B$4:$B$8,$A91)*5+COUNTIF('Sprint W5'!$C$4:$C$8,$A91)*4+COUNTIF('Sprint W5'!$D$4:$D$8,$A91)*3+COUNTIF('Sprint W5'!$E$4:$E$8,$A91)*2+COUNTIF('Sprint W5'!$F$4:$F$8,$A91)*1)</f>
        <v>0</v>
      </c>
      <c r="H91" s="25" t="str">
        <f t="shared" si="4"/>
        <v/>
      </c>
      <c r="I91" s="26" t="str">
        <f t="shared" si="5"/>
        <v/>
      </c>
      <c r="AA91">
        <f>'Sprint W4'!B7</f>
        <v>0</v>
      </c>
      <c r="AB91">
        <f>IF(AA91="",0,IF(COUNTIF($AA$1:AA91,AA91)=1,1,0))</f>
        <v>0</v>
      </c>
      <c r="AC91" t="str">
        <f>IF(AB91=1,COUNTIF($AB$1:AB91,1),"")</f>
        <v/>
      </c>
    </row>
    <row r="92" spans="1:29" x14ac:dyDescent="0.25">
      <c r="A92" s="13" t="str">
        <f>IFERROR(INDEX($AA$1:$AA$125,MATCH(89,$AC$1:$AC$125,0)),"")</f>
        <v/>
      </c>
      <c r="B92" s="33"/>
      <c r="C92" s="15">
        <f>IF($A92="",0,COUNTIF('Sprint W1'!$B$4:$B$8,$A92)*5+COUNTIF('Sprint W1'!$C$4:$C$8,$A92)*4+COUNTIF('Sprint W1'!$D$4:$D$8,$A92)*3+COUNTIF('Sprint W1'!$E$4:$E$8,$A92)*2+COUNTIF('Sprint W1'!$F$4:$F$8,$A92)*1)</f>
        <v>0</v>
      </c>
      <c r="D92" s="15">
        <f>IF($A92="",0,COUNTIF('Sprint W2'!$B$4:$B$8,$A92)*5+COUNTIF('Sprint W2'!$C$4:$C$8,$A92)*4+COUNTIF('Sprint W2'!$D$4:$D$8,$A92)*3+COUNTIF('Sprint W2'!$E$4:$E$8,$A92)*2+COUNTIF('Sprint W2'!$F$4:$F$8,$A92)*1)</f>
        <v>0</v>
      </c>
      <c r="E92" s="15">
        <f>IF($A92="",0,COUNTIF('Sprint W3'!$B$4:$B$8,$A92)*5+COUNTIF('Sprint W3'!$C$4:$C$8,$A92)*4+COUNTIF('Sprint W3'!$D$4:$D$8,$A92)*3+COUNTIF('Sprint W3'!$E$4:$E$8,$A92)*2+COUNTIF('Sprint W3'!$F$4:$F$8,$A92)*1)</f>
        <v>0</v>
      </c>
      <c r="F92" s="15">
        <f>IF($A92="",0,COUNTIF('Sprint W4'!$B$4:$B$8,$A92)*5+COUNTIF('Sprint W4'!$C$4:$C$8,$A92)*4+COUNTIF('Sprint W4'!$D$4:$D$8,$A92)*3+COUNTIF('Sprint W4'!$E$4:$E$8,$A92)*2+COUNTIF('Sprint W4'!$F$4:$F$8,$A92)*1)</f>
        <v>0</v>
      </c>
      <c r="G92" s="15">
        <f>IF($A92="",0,COUNTIF('Sprint W5'!$B$4:$B$8,$A92)*5+COUNTIF('Sprint W5'!$C$4:$C$8,$A92)*4+COUNTIF('Sprint W5'!$D$4:$D$8,$A92)*3+COUNTIF('Sprint W5'!$E$4:$E$8,$A92)*2+COUNTIF('Sprint W5'!$F$4:$F$8,$A92)*1)</f>
        <v>0</v>
      </c>
      <c r="H92" s="25" t="str">
        <f t="shared" si="4"/>
        <v/>
      </c>
      <c r="I92" s="26" t="str">
        <f t="shared" si="5"/>
        <v/>
      </c>
      <c r="AA92">
        <f>'Sprint W4'!C7</f>
        <v>0</v>
      </c>
      <c r="AB92">
        <f>IF(AA92="",0,IF(COUNTIF($AA$1:AA92,AA92)=1,1,0))</f>
        <v>0</v>
      </c>
      <c r="AC92" t="str">
        <f>IF(AB92=1,COUNTIF($AB$1:AB92,1),"")</f>
        <v/>
      </c>
    </row>
    <row r="93" spans="1:29" x14ac:dyDescent="0.25">
      <c r="A93" s="13" t="str">
        <f>IFERROR(INDEX($AA$1:$AA$125,MATCH(90,$AC$1:$AC$125,0)),"")</f>
        <v/>
      </c>
      <c r="B93" s="33"/>
      <c r="C93" s="15">
        <f>IF($A93="",0,COUNTIF('Sprint W1'!$B$4:$B$8,$A93)*5+COUNTIF('Sprint W1'!$C$4:$C$8,$A93)*4+COUNTIF('Sprint W1'!$D$4:$D$8,$A93)*3+COUNTIF('Sprint W1'!$E$4:$E$8,$A93)*2+COUNTIF('Sprint W1'!$F$4:$F$8,$A93)*1)</f>
        <v>0</v>
      </c>
      <c r="D93" s="15">
        <f>IF($A93="",0,COUNTIF('Sprint W2'!$B$4:$B$8,$A93)*5+COUNTIF('Sprint W2'!$C$4:$C$8,$A93)*4+COUNTIF('Sprint W2'!$D$4:$D$8,$A93)*3+COUNTIF('Sprint W2'!$E$4:$E$8,$A93)*2+COUNTIF('Sprint W2'!$F$4:$F$8,$A93)*1)</f>
        <v>0</v>
      </c>
      <c r="E93" s="15">
        <f>IF($A93="",0,COUNTIF('Sprint W3'!$B$4:$B$8,$A93)*5+COUNTIF('Sprint W3'!$C$4:$C$8,$A93)*4+COUNTIF('Sprint W3'!$D$4:$D$8,$A93)*3+COUNTIF('Sprint W3'!$E$4:$E$8,$A93)*2+COUNTIF('Sprint W3'!$F$4:$F$8,$A93)*1)</f>
        <v>0</v>
      </c>
      <c r="F93" s="15">
        <f>IF($A93="",0,COUNTIF('Sprint W4'!$B$4:$B$8,$A93)*5+COUNTIF('Sprint W4'!$C$4:$C$8,$A93)*4+COUNTIF('Sprint W4'!$D$4:$D$8,$A93)*3+COUNTIF('Sprint W4'!$E$4:$E$8,$A93)*2+COUNTIF('Sprint W4'!$F$4:$F$8,$A93)*1)</f>
        <v>0</v>
      </c>
      <c r="G93" s="15">
        <f>IF($A93="",0,COUNTIF('Sprint W5'!$B$4:$B$8,$A93)*5+COUNTIF('Sprint W5'!$C$4:$C$8,$A93)*4+COUNTIF('Sprint W5'!$D$4:$D$8,$A93)*3+COUNTIF('Sprint W5'!$E$4:$E$8,$A93)*2+COUNTIF('Sprint W5'!$F$4:$F$8,$A93)*1)</f>
        <v>0</v>
      </c>
      <c r="H93" s="25" t="str">
        <f t="shared" si="4"/>
        <v/>
      </c>
      <c r="I93" s="26" t="str">
        <f t="shared" si="5"/>
        <v/>
      </c>
      <c r="AA93">
        <f>'Sprint W4'!D7</f>
        <v>0</v>
      </c>
      <c r="AB93">
        <f>IF(AA93="",0,IF(COUNTIF($AA$1:AA93,AA93)=1,1,0))</f>
        <v>0</v>
      </c>
      <c r="AC93" t="str">
        <f>IF(AB93=1,COUNTIF($AB$1:AB93,1),"")</f>
        <v/>
      </c>
    </row>
    <row r="94" spans="1:29" x14ac:dyDescent="0.25">
      <c r="A94" s="13" t="str">
        <f>IFERROR(INDEX($AA$1:$AA$125,MATCH(91,$AC$1:$AC$125,0)),"")</f>
        <v/>
      </c>
      <c r="B94" s="33"/>
      <c r="C94" s="15">
        <f>IF($A94="",0,COUNTIF('Sprint W1'!$B$4:$B$8,$A94)*5+COUNTIF('Sprint W1'!$C$4:$C$8,$A94)*4+COUNTIF('Sprint W1'!$D$4:$D$8,$A94)*3+COUNTIF('Sprint W1'!$E$4:$E$8,$A94)*2+COUNTIF('Sprint W1'!$F$4:$F$8,$A94)*1)</f>
        <v>0</v>
      </c>
      <c r="D94" s="15">
        <f>IF($A94="",0,COUNTIF('Sprint W2'!$B$4:$B$8,$A94)*5+COUNTIF('Sprint W2'!$C$4:$C$8,$A94)*4+COUNTIF('Sprint W2'!$D$4:$D$8,$A94)*3+COUNTIF('Sprint W2'!$E$4:$E$8,$A94)*2+COUNTIF('Sprint W2'!$F$4:$F$8,$A94)*1)</f>
        <v>0</v>
      </c>
      <c r="E94" s="15">
        <f>IF($A94="",0,COUNTIF('Sprint W3'!$B$4:$B$8,$A94)*5+COUNTIF('Sprint W3'!$C$4:$C$8,$A94)*4+COUNTIF('Sprint W3'!$D$4:$D$8,$A94)*3+COUNTIF('Sprint W3'!$E$4:$E$8,$A94)*2+COUNTIF('Sprint W3'!$F$4:$F$8,$A94)*1)</f>
        <v>0</v>
      </c>
      <c r="F94" s="15">
        <f>IF($A94="",0,COUNTIF('Sprint W4'!$B$4:$B$8,$A94)*5+COUNTIF('Sprint W4'!$C$4:$C$8,$A94)*4+COUNTIF('Sprint W4'!$D$4:$D$8,$A94)*3+COUNTIF('Sprint W4'!$E$4:$E$8,$A94)*2+COUNTIF('Sprint W4'!$F$4:$F$8,$A94)*1)</f>
        <v>0</v>
      </c>
      <c r="G94" s="15">
        <f>IF($A94="",0,COUNTIF('Sprint W5'!$B$4:$B$8,$A94)*5+COUNTIF('Sprint W5'!$C$4:$C$8,$A94)*4+COUNTIF('Sprint W5'!$D$4:$D$8,$A94)*3+COUNTIF('Sprint W5'!$E$4:$E$8,$A94)*2+COUNTIF('Sprint W5'!$F$4:$F$8,$A94)*1)</f>
        <v>0</v>
      </c>
      <c r="H94" s="25" t="str">
        <f t="shared" si="4"/>
        <v/>
      </c>
      <c r="I94" s="26" t="str">
        <f t="shared" si="5"/>
        <v/>
      </c>
      <c r="AA94">
        <f>'Sprint W4'!E7</f>
        <v>0</v>
      </c>
      <c r="AB94">
        <f>IF(AA94="",0,IF(COUNTIF($AA$1:AA94,AA94)=1,1,0))</f>
        <v>0</v>
      </c>
      <c r="AC94" t="str">
        <f>IF(AB94=1,COUNTIF($AB$1:AB94,1),"")</f>
        <v/>
      </c>
    </row>
    <row r="95" spans="1:29" x14ac:dyDescent="0.25">
      <c r="A95" s="13" t="str">
        <f>IFERROR(INDEX($AA$1:$AA$125,MATCH(92,$AC$1:$AC$125,0)),"")</f>
        <v/>
      </c>
      <c r="B95" s="33"/>
      <c r="C95" s="15">
        <f>IF($A95="",0,COUNTIF('Sprint W1'!$B$4:$B$8,$A95)*5+COUNTIF('Sprint W1'!$C$4:$C$8,$A95)*4+COUNTIF('Sprint W1'!$D$4:$D$8,$A95)*3+COUNTIF('Sprint W1'!$E$4:$E$8,$A95)*2+COUNTIF('Sprint W1'!$F$4:$F$8,$A95)*1)</f>
        <v>0</v>
      </c>
      <c r="D95" s="15">
        <f>IF($A95="",0,COUNTIF('Sprint W2'!$B$4:$B$8,$A95)*5+COUNTIF('Sprint W2'!$C$4:$C$8,$A95)*4+COUNTIF('Sprint W2'!$D$4:$D$8,$A95)*3+COUNTIF('Sprint W2'!$E$4:$E$8,$A95)*2+COUNTIF('Sprint W2'!$F$4:$F$8,$A95)*1)</f>
        <v>0</v>
      </c>
      <c r="E95" s="15">
        <f>IF($A95="",0,COUNTIF('Sprint W3'!$B$4:$B$8,$A95)*5+COUNTIF('Sprint W3'!$C$4:$C$8,$A95)*4+COUNTIF('Sprint W3'!$D$4:$D$8,$A95)*3+COUNTIF('Sprint W3'!$E$4:$E$8,$A95)*2+COUNTIF('Sprint W3'!$F$4:$F$8,$A95)*1)</f>
        <v>0</v>
      </c>
      <c r="F95" s="15">
        <f>IF($A95="",0,COUNTIF('Sprint W4'!$B$4:$B$8,$A95)*5+COUNTIF('Sprint W4'!$C$4:$C$8,$A95)*4+COUNTIF('Sprint W4'!$D$4:$D$8,$A95)*3+COUNTIF('Sprint W4'!$E$4:$E$8,$A95)*2+COUNTIF('Sprint W4'!$F$4:$F$8,$A95)*1)</f>
        <v>0</v>
      </c>
      <c r="G95" s="15">
        <f>IF($A95="",0,COUNTIF('Sprint W5'!$B$4:$B$8,$A95)*5+COUNTIF('Sprint W5'!$C$4:$C$8,$A95)*4+COUNTIF('Sprint W5'!$D$4:$D$8,$A95)*3+COUNTIF('Sprint W5'!$E$4:$E$8,$A95)*2+COUNTIF('Sprint W5'!$F$4:$F$8,$A95)*1)</f>
        <v>0</v>
      </c>
      <c r="H95" s="25" t="str">
        <f t="shared" si="4"/>
        <v/>
      </c>
      <c r="I95" s="26" t="str">
        <f t="shared" si="5"/>
        <v/>
      </c>
      <c r="AA95">
        <f>'Sprint W4'!F7</f>
        <v>0</v>
      </c>
      <c r="AB95">
        <f>IF(AA95="",0,IF(COUNTIF($AA$1:AA95,AA95)=1,1,0))</f>
        <v>0</v>
      </c>
      <c r="AC95" t="str">
        <f>IF(AB95=1,COUNTIF($AB$1:AB95,1),"")</f>
        <v/>
      </c>
    </row>
    <row r="96" spans="1:29" x14ac:dyDescent="0.25">
      <c r="A96" s="13" t="str">
        <f>IFERROR(INDEX($AA$1:$AA$125,MATCH(93,$AC$1:$AC$125,0)),"")</f>
        <v/>
      </c>
      <c r="B96" s="33"/>
      <c r="C96" s="15">
        <f>IF($A96="",0,COUNTIF('Sprint W1'!$B$4:$B$8,$A96)*5+COUNTIF('Sprint W1'!$C$4:$C$8,$A96)*4+COUNTIF('Sprint W1'!$D$4:$D$8,$A96)*3+COUNTIF('Sprint W1'!$E$4:$E$8,$A96)*2+COUNTIF('Sprint W1'!$F$4:$F$8,$A96)*1)</f>
        <v>0</v>
      </c>
      <c r="D96" s="15">
        <f>IF($A96="",0,COUNTIF('Sprint W2'!$B$4:$B$8,$A96)*5+COUNTIF('Sprint W2'!$C$4:$C$8,$A96)*4+COUNTIF('Sprint W2'!$D$4:$D$8,$A96)*3+COUNTIF('Sprint W2'!$E$4:$E$8,$A96)*2+COUNTIF('Sprint W2'!$F$4:$F$8,$A96)*1)</f>
        <v>0</v>
      </c>
      <c r="E96" s="15">
        <f>IF($A96="",0,COUNTIF('Sprint W3'!$B$4:$B$8,$A96)*5+COUNTIF('Sprint W3'!$C$4:$C$8,$A96)*4+COUNTIF('Sprint W3'!$D$4:$D$8,$A96)*3+COUNTIF('Sprint W3'!$E$4:$E$8,$A96)*2+COUNTIF('Sprint W3'!$F$4:$F$8,$A96)*1)</f>
        <v>0</v>
      </c>
      <c r="F96" s="15">
        <f>IF($A96="",0,COUNTIF('Sprint W4'!$B$4:$B$8,$A96)*5+COUNTIF('Sprint W4'!$C$4:$C$8,$A96)*4+COUNTIF('Sprint W4'!$D$4:$D$8,$A96)*3+COUNTIF('Sprint W4'!$E$4:$E$8,$A96)*2+COUNTIF('Sprint W4'!$F$4:$F$8,$A96)*1)</f>
        <v>0</v>
      </c>
      <c r="G96" s="15">
        <f>IF($A96="",0,COUNTIF('Sprint W5'!$B$4:$B$8,$A96)*5+COUNTIF('Sprint W5'!$C$4:$C$8,$A96)*4+COUNTIF('Sprint W5'!$D$4:$D$8,$A96)*3+COUNTIF('Sprint W5'!$E$4:$E$8,$A96)*2+COUNTIF('Sprint W5'!$F$4:$F$8,$A96)*1)</f>
        <v>0</v>
      </c>
      <c r="H96" s="25" t="str">
        <f t="shared" si="4"/>
        <v/>
      </c>
      <c r="I96" s="26" t="str">
        <f t="shared" si="5"/>
        <v/>
      </c>
      <c r="AA96">
        <f>'Sprint W4'!B8</f>
        <v>0</v>
      </c>
      <c r="AB96">
        <f>IF(AA96="",0,IF(COUNTIF($AA$1:AA96,AA96)=1,1,0))</f>
        <v>0</v>
      </c>
      <c r="AC96" t="str">
        <f>IF(AB96=1,COUNTIF($AB$1:AB96,1),"")</f>
        <v/>
      </c>
    </row>
    <row r="97" spans="1:29" x14ac:dyDescent="0.25">
      <c r="A97" s="13" t="str">
        <f>IFERROR(INDEX($AA$1:$AA$125,MATCH(94,$AC$1:$AC$125,0)),"")</f>
        <v/>
      </c>
      <c r="B97" s="33"/>
      <c r="C97" s="15">
        <f>IF($A97="",0,COUNTIF('Sprint W1'!$B$4:$B$8,$A97)*5+COUNTIF('Sprint W1'!$C$4:$C$8,$A97)*4+COUNTIF('Sprint W1'!$D$4:$D$8,$A97)*3+COUNTIF('Sprint W1'!$E$4:$E$8,$A97)*2+COUNTIF('Sprint W1'!$F$4:$F$8,$A97)*1)</f>
        <v>0</v>
      </c>
      <c r="D97" s="15">
        <f>IF($A97="",0,COUNTIF('Sprint W2'!$B$4:$B$8,$A97)*5+COUNTIF('Sprint W2'!$C$4:$C$8,$A97)*4+COUNTIF('Sprint W2'!$D$4:$D$8,$A97)*3+COUNTIF('Sprint W2'!$E$4:$E$8,$A97)*2+COUNTIF('Sprint W2'!$F$4:$F$8,$A97)*1)</f>
        <v>0</v>
      </c>
      <c r="E97" s="15">
        <f>IF($A97="",0,COUNTIF('Sprint W3'!$B$4:$B$8,$A97)*5+COUNTIF('Sprint W3'!$C$4:$C$8,$A97)*4+COUNTIF('Sprint W3'!$D$4:$D$8,$A97)*3+COUNTIF('Sprint W3'!$E$4:$E$8,$A97)*2+COUNTIF('Sprint W3'!$F$4:$F$8,$A97)*1)</f>
        <v>0</v>
      </c>
      <c r="F97" s="15">
        <f>IF($A97="",0,COUNTIF('Sprint W4'!$B$4:$B$8,$A97)*5+COUNTIF('Sprint W4'!$C$4:$C$8,$A97)*4+COUNTIF('Sprint W4'!$D$4:$D$8,$A97)*3+COUNTIF('Sprint W4'!$E$4:$E$8,$A97)*2+COUNTIF('Sprint W4'!$F$4:$F$8,$A97)*1)</f>
        <v>0</v>
      </c>
      <c r="G97" s="15">
        <f>IF($A97="",0,COUNTIF('Sprint W5'!$B$4:$B$8,$A97)*5+COUNTIF('Sprint W5'!$C$4:$C$8,$A97)*4+COUNTIF('Sprint W5'!$D$4:$D$8,$A97)*3+COUNTIF('Sprint W5'!$E$4:$E$8,$A97)*2+COUNTIF('Sprint W5'!$F$4:$F$8,$A97)*1)</f>
        <v>0</v>
      </c>
      <c r="H97" s="25" t="str">
        <f t="shared" si="4"/>
        <v/>
      </c>
      <c r="I97" s="26" t="str">
        <f t="shared" si="5"/>
        <v/>
      </c>
      <c r="AA97">
        <f>'Sprint W4'!C8</f>
        <v>0</v>
      </c>
      <c r="AB97">
        <f>IF(AA97="",0,IF(COUNTIF($AA$1:AA97,AA97)=1,1,0))</f>
        <v>0</v>
      </c>
      <c r="AC97" t="str">
        <f>IF(AB97=1,COUNTIF($AB$1:AB97,1),"")</f>
        <v/>
      </c>
    </row>
    <row r="98" spans="1:29" x14ac:dyDescent="0.25">
      <c r="A98" s="13" t="str">
        <f>IFERROR(INDEX($AA$1:$AA$125,MATCH(95,$AC$1:$AC$125,0)),"")</f>
        <v/>
      </c>
      <c r="B98" s="33"/>
      <c r="C98" s="15">
        <f>IF($A98="",0,COUNTIF('Sprint W1'!$B$4:$B$8,$A98)*5+COUNTIF('Sprint W1'!$C$4:$C$8,$A98)*4+COUNTIF('Sprint W1'!$D$4:$D$8,$A98)*3+COUNTIF('Sprint W1'!$E$4:$E$8,$A98)*2+COUNTIF('Sprint W1'!$F$4:$F$8,$A98)*1)</f>
        <v>0</v>
      </c>
      <c r="D98" s="15">
        <f>IF($A98="",0,COUNTIF('Sprint W2'!$B$4:$B$8,$A98)*5+COUNTIF('Sprint W2'!$C$4:$C$8,$A98)*4+COUNTIF('Sprint W2'!$D$4:$D$8,$A98)*3+COUNTIF('Sprint W2'!$E$4:$E$8,$A98)*2+COUNTIF('Sprint W2'!$F$4:$F$8,$A98)*1)</f>
        <v>0</v>
      </c>
      <c r="E98" s="15">
        <f>IF($A98="",0,COUNTIF('Sprint W3'!$B$4:$B$8,$A98)*5+COUNTIF('Sprint W3'!$C$4:$C$8,$A98)*4+COUNTIF('Sprint W3'!$D$4:$D$8,$A98)*3+COUNTIF('Sprint W3'!$E$4:$E$8,$A98)*2+COUNTIF('Sprint W3'!$F$4:$F$8,$A98)*1)</f>
        <v>0</v>
      </c>
      <c r="F98" s="15">
        <f>IF($A98="",0,COUNTIF('Sprint W4'!$B$4:$B$8,$A98)*5+COUNTIF('Sprint W4'!$C$4:$C$8,$A98)*4+COUNTIF('Sprint W4'!$D$4:$D$8,$A98)*3+COUNTIF('Sprint W4'!$E$4:$E$8,$A98)*2+COUNTIF('Sprint W4'!$F$4:$F$8,$A98)*1)</f>
        <v>0</v>
      </c>
      <c r="G98" s="15">
        <f>IF($A98="",0,COUNTIF('Sprint W5'!$B$4:$B$8,$A98)*5+COUNTIF('Sprint W5'!$C$4:$C$8,$A98)*4+COUNTIF('Sprint W5'!$D$4:$D$8,$A98)*3+COUNTIF('Sprint W5'!$E$4:$E$8,$A98)*2+COUNTIF('Sprint W5'!$F$4:$F$8,$A98)*1)</f>
        <v>0</v>
      </c>
      <c r="H98" s="25" t="str">
        <f t="shared" si="4"/>
        <v/>
      </c>
      <c r="I98" s="26" t="str">
        <f t="shared" si="5"/>
        <v/>
      </c>
      <c r="AA98">
        <f>'Sprint W4'!D8</f>
        <v>0</v>
      </c>
      <c r="AB98">
        <f>IF(AA98="",0,IF(COUNTIF($AA$1:AA98,AA98)=1,1,0))</f>
        <v>0</v>
      </c>
      <c r="AC98" t="str">
        <f>IF(AB98=1,COUNTIF($AB$1:AB98,1),"")</f>
        <v/>
      </c>
    </row>
    <row r="99" spans="1:29" x14ac:dyDescent="0.25">
      <c r="A99" s="13" t="str">
        <f>IFERROR(INDEX($AA$1:$AA$125,MATCH(96,$AC$1:$AC$125,0)),"")</f>
        <v/>
      </c>
      <c r="B99" s="33"/>
      <c r="C99" s="15">
        <f>IF($A99="",0,COUNTIF('Sprint W1'!$B$4:$B$8,$A99)*5+COUNTIF('Sprint W1'!$C$4:$C$8,$A99)*4+COUNTIF('Sprint W1'!$D$4:$D$8,$A99)*3+COUNTIF('Sprint W1'!$E$4:$E$8,$A99)*2+COUNTIF('Sprint W1'!$F$4:$F$8,$A99)*1)</f>
        <v>0</v>
      </c>
      <c r="D99" s="15">
        <f>IF($A99="",0,COUNTIF('Sprint W2'!$B$4:$B$8,$A99)*5+COUNTIF('Sprint W2'!$C$4:$C$8,$A99)*4+COUNTIF('Sprint W2'!$D$4:$D$8,$A99)*3+COUNTIF('Sprint W2'!$E$4:$E$8,$A99)*2+COUNTIF('Sprint W2'!$F$4:$F$8,$A99)*1)</f>
        <v>0</v>
      </c>
      <c r="E99" s="15">
        <f>IF($A99="",0,COUNTIF('Sprint W3'!$B$4:$B$8,$A99)*5+COUNTIF('Sprint W3'!$C$4:$C$8,$A99)*4+COUNTIF('Sprint W3'!$D$4:$D$8,$A99)*3+COUNTIF('Sprint W3'!$E$4:$E$8,$A99)*2+COUNTIF('Sprint W3'!$F$4:$F$8,$A99)*1)</f>
        <v>0</v>
      </c>
      <c r="F99" s="15">
        <f>IF($A99="",0,COUNTIF('Sprint W4'!$B$4:$B$8,$A99)*5+COUNTIF('Sprint W4'!$C$4:$C$8,$A99)*4+COUNTIF('Sprint W4'!$D$4:$D$8,$A99)*3+COUNTIF('Sprint W4'!$E$4:$E$8,$A99)*2+COUNTIF('Sprint W4'!$F$4:$F$8,$A99)*1)</f>
        <v>0</v>
      </c>
      <c r="G99" s="15">
        <f>IF($A99="",0,COUNTIF('Sprint W5'!$B$4:$B$8,$A99)*5+COUNTIF('Sprint W5'!$C$4:$C$8,$A99)*4+COUNTIF('Sprint W5'!$D$4:$D$8,$A99)*3+COUNTIF('Sprint W5'!$E$4:$E$8,$A99)*2+COUNTIF('Sprint W5'!$F$4:$F$8,$A99)*1)</f>
        <v>0</v>
      </c>
      <c r="H99" s="25" t="str">
        <f t="shared" si="4"/>
        <v/>
      </c>
      <c r="I99" s="26" t="str">
        <f t="shared" si="5"/>
        <v/>
      </c>
      <c r="AA99">
        <f>'Sprint W4'!E8</f>
        <v>0</v>
      </c>
      <c r="AB99">
        <f>IF(AA99="",0,IF(COUNTIF($AA$1:AA99,AA99)=1,1,0))</f>
        <v>0</v>
      </c>
      <c r="AC99" t="str">
        <f>IF(AB99=1,COUNTIF($AB$1:AB99,1),"")</f>
        <v/>
      </c>
    </row>
    <row r="100" spans="1:29" x14ac:dyDescent="0.25">
      <c r="A100" s="13" t="str">
        <f>IFERROR(INDEX($AA$1:$AA$125,MATCH(97,$AC$1:$AC$125,0)),"")</f>
        <v/>
      </c>
      <c r="B100" s="33"/>
      <c r="C100" s="15">
        <f>IF($A100="",0,COUNTIF('Sprint W1'!$B$4:$B$8,$A100)*5+COUNTIF('Sprint W1'!$C$4:$C$8,$A100)*4+COUNTIF('Sprint W1'!$D$4:$D$8,$A100)*3+COUNTIF('Sprint W1'!$E$4:$E$8,$A100)*2+COUNTIF('Sprint W1'!$F$4:$F$8,$A100)*1)</f>
        <v>0</v>
      </c>
      <c r="D100" s="15">
        <f>IF($A100="",0,COUNTIF('Sprint W2'!$B$4:$B$8,$A100)*5+COUNTIF('Sprint W2'!$C$4:$C$8,$A100)*4+COUNTIF('Sprint W2'!$D$4:$D$8,$A100)*3+COUNTIF('Sprint W2'!$E$4:$E$8,$A100)*2+COUNTIF('Sprint W2'!$F$4:$F$8,$A100)*1)</f>
        <v>0</v>
      </c>
      <c r="E100" s="15">
        <f>IF($A100="",0,COUNTIF('Sprint W3'!$B$4:$B$8,$A100)*5+COUNTIF('Sprint W3'!$C$4:$C$8,$A100)*4+COUNTIF('Sprint W3'!$D$4:$D$8,$A100)*3+COUNTIF('Sprint W3'!$E$4:$E$8,$A100)*2+COUNTIF('Sprint W3'!$F$4:$F$8,$A100)*1)</f>
        <v>0</v>
      </c>
      <c r="F100" s="15">
        <f>IF($A100="",0,COUNTIF('Sprint W4'!$B$4:$B$8,$A100)*5+COUNTIF('Sprint W4'!$C$4:$C$8,$A100)*4+COUNTIF('Sprint W4'!$D$4:$D$8,$A100)*3+COUNTIF('Sprint W4'!$E$4:$E$8,$A100)*2+COUNTIF('Sprint W4'!$F$4:$F$8,$A100)*1)</f>
        <v>0</v>
      </c>
      <c r="G100" s="15">
        <f>IF($A100="",0,COUNTIF('Sprint W5'!$B$4:$B$8,$A100)*5+COUNTIF('Sprint W5'!$C$4:$C$8,$A100)*4+COUNTIF('Sprint W5'!$D$4:$D$8,$A100)*3+COUNTIF('Sprint W5'!$E$4:$E$8,$A100)*2+COUNTIF('Sprint W5'!$F$4:$F$8,$A100)*1)</f>
        <v>0</v>
      </c>
      <c r="H100" s="25" t="str">
        <f t="shared" ref="H100:H103" si="6">IF($A100="","",C100+D100+E100+F100+G100)</f>
        <v/>
      </c>
      <c r="I100" s="26" t="str">
        <f t="shared" ref="I100:I103" si="7">IF(OR($A100="",H100="",H100=0),"",RANK(H100,$H$4:$H$103,0))</f>
        <v/>
      </c>
      <c r="AA100">
        <f>'Sprint W4'!F8</f>
        <v>0</v>
      </c>
      <c r="AB100">
        <f>IF(AA100="",0,IF(COUNTIF($AA$1:AA100,AA100)=1,1,0))</f>
        <v>0</v>
      </c>
      <c r="AC100" t="str">
        <f>IF(AB100=1,COUNTIF($AB$1:AB100,1),"")</f>
        <v/>
      </c>
    </row>
    <row r="101" spans="1:29" x14ac:dyDescent="0.25">
      <c r="A101" s="13" t="str">
        <f>IFERROR(INDEX($AA$1:$AA$125,MATCH(98,$AC$1:$AC$125,0)),"")</f>
        <v/>
      </c>
      <c r="B101" s="33"/>
      <c r="C101" s="15">
        <f>IF($A101="",0,COUNTIF('Sprint W1'!$B$4:$B$8,$A101)*5+COUNTIF('Sprint W1'!$C$4:$C$8,$A101)*4+COUNTIF('Sprint W1'!$D$4:$D$8,$A101)*3+COUNTIF('Sprint W1'!$E$4:$E$8,$A101)*2+COUNTIF('Sprint W1'!$F$4:$F$8,$A101)*1)</f>
        <v>0</v>
      </c>
      <c r="D101" s="15">
        <f>IF($A101="",0,COUNTIF('Sprint W2'!$B$4:$B$8,$A101)*5+COUNTIF('Sprint W2'!$C$4:$C$8,$A101)*4+COUNTIF('Sprint W2'!$D$4:$D$8,$A101)*3+COUNTIF('Sprint W2'!$E$4:$E$8,$A101)*2+COUNTIF('Sprint W2'!$F$4:$F$8,$A101)*1)</f>
        <v>0</v>
      </c>
      <c r="E101" s="15">
        <f>IF($A101="",0,COUNTIF('Sprint W3'!$B$4:$B$8,$A101)*5+COUNTIF('Sprint W3'!$C$4:$C$8,$A101)*4+COUNTIF('Sprint W3'!$D$4:$D$8,$A101)*3+COUNTIF('Sprint W3'!$E$4:$E$8,$A101)*2+COUNTIF('Sprint W3'!$F$4:$F$8,$A101)*1)</f>
        <v>0</v>
      </c>
      <c r="F101" s="15">
        <f>IF($A101="",0,COUNTIF('Sprint W4'!$B$4:$B$8,$A101)*5+COUNTIF('Sprint W4'!$C$4:$C$8,$A101)*4+COUNTIF('Sprint W4'!$D$4:$D$8,$A101)*3+COUNTIF('Sprint W4'!$E$4:$E$8,$A101)*2+COUNTIF('Sprint W4'!$F$4:$F$8,$A101)*1)</f>
        <v>0</v>
      </c>
      <c r="G101" s="15">
        <f>IF($A101="",0,COUNTIF('Sprint W5'!$B$4:$B$8,$A101)*5+COUNTIF('Sprint W5'!$C$4:$C$8,$A101)*4+COUNTIF('Sprint W5'!$D$4:$D$8,$A101)*3+COUNTIF('Sprint W5'!$E$4:$E$8,$A101)*2+COUNTIF('Sprint W5'!$F$4:$F$8,$A101)*1)</f>
        <v>0</v>
      </c>
      <c r="H101" s="25" t="str">
        <f t="shared" si="6"/>
        <v/>
      </c>
      <c r="I101" s="26" t="str">
        <f t="shared" si="7"/>
        <v/>
      </c>
      <c r="AA101">
        <f>'Sprint W5'!B4</f>
        <v>0</v>
      </c>
      <c r="AB101">
        <f>IF(AA101="",0,IF(COUNTIF($AA$1:AA101,AA101)=1,1,0))</f>
        <v>0</v>
      </c>
      <c r="AC101" t="str">
        <f>IF(AB101=1,COUNTIF($AB$1:AB101,1),"")</f>
        <v/>
      </c>
    </row>
    <row r="102" spans="1:29" x14ac:dyDescent="0.25">
      <c r="A102" s="13" t="str">
        <f>IFERROR(INDEX($AA$1:$AA$125,MATCH(99,$AC$1:$AC$125,0)),"")</f>
        <v/>
      </c>
      <c r="B102" s="33"/>
      <c r="C102" s="15">
        <f>IF($A102="",0,COUNTIF('Sprint W1'!$B$4:$B$8,$A102)*5+COUNTIF('Sprint W1'!$C$4:$C$8,$A102)*4+COUNTIF('Sprint W1'!$D$4:$D$8,$A102)*3+COUNTIF('Sprint W1'!$E$4:$E$8,$A102)*2+COUNTIF('Sprint W1'!$F$4:$F$8,$A102)*1)</f>
        <v>0</v>
      </c>
      <c r="D102" s="15">
        <f>IF($A102="",0,COUNTIF('Sprint W2'!$B$4:$B$8,$A102)*5+COUNTIF('Sprint W2'!$C$4:$C$8,$A102)*4+COUNTIF('Sprint W2'!$D$4:$D$8,$A102)*3+COUNTIF('Sprint W2'!$E$4:$E$8,$A102)*2+COUNTIF('Sprint W2'!$F$4:$F$8,$A102)*1)</f>
        <v>0</v>
      </c>
      <c r="E102" s="15">
        <f>IF($A102="",0,COUNTIF('Sprint W3'!$B$4:$B$8,$A102)*5+COUNTIF('Sprint W3'!$C$4:$C$8,$A102)*4+COUNTIF('Sprint W3'!$D$4:$D$8,$A102)*3+COUNTIF('Sprint W3'!$E$4:$E$8,$A102)*2+COUNTIF('Sprint W3'!$F$4:$F$8,$A102)*1)</f>
        <v>0</v>
      </c>
      <c r="F102" s="15">
        <f>IF($A102="",0,COUNTIF('Sprint W4'!$B$4:$B$8,$A102)*5+COUNTIF('Sprint W4'!$C$4:$C$8,$A102)*4+COUNTIF('Sprint W4'!$D$4:$D$8,$A102)*3+COUNTIF('Sprint W4'!$E$4:$E$8,$A102)*2+COUNTIF('Sprint W4'!$F$4:$F$8,$A102)*1)</f>
        <v>0</v>
      </c>
      <c r="G102" s="15">
        <f>IF($A102="",0,COUNTIF('Sprint W5'!$B$4:$B$8,$A102)*5+COUNTIF('Sprint W5'!$C$4:$C$8,$A102)*4+COUNTIF('Sprint W5'!$D$4:$D$8,$A102)*3+COUNTIF('Sprint W5'!$E$4:$E$8,$A102)*2+COUNTIF('Sprint W5'!$F$4:$F$8,$A102)*1)</f>
        <v>0</v>
      </c>
      <c r="H102" s="25" t="str">
        <f t="shared" si="6"/>
        <v/>
      </c>
      <c r="I102" s="26" t="str">
        <f t="shared" si="7"/>
        <v/>
      </c>
      <c r="AA102">
        <f>'Sprint W5'!C4</f>
        <v>0</v>
      </c>
      <c r="AB102">
        <f>IF(AA102="",0,IF(COUNTIF($AA$1:AA102,AA102)=1,1,0))</f>
        <v>0</v>
      </c>
      <c r="AC102" t="str">
        <f>IF(AB102=1,COUNTIF($AB$1:AB102,1),"")</f>
        <v/>
      </c>
    </row>
    <row r="103" spans="1:29" x14ac:dyDescent="0.25">
      <c r="A103" s="13" t="str">
        <f>IFERROR(INDEX($AA$1:$AA$125,MATCH(100,$AC$1:$AC$125,0)),"")</f>
        <v/>
      </c>
      <c r="B103" s="33"/>
      <c r="C103" s="15">
        <f>IF($A103="",0,COUNTIF('Sprint W1'!$B$4:$B$8,$A103)*5+COUNTIF('Sprint W1'!$C$4:$C$8,$A103)*4+COUNTIF('Sprint W1'!$D$4:$D$8,$A103)*3+COUNTIF('Sprint W1'!$E$4:$E$8,$A103)*2+COUNTIF('Sprint W1'!$F$4:$F$8,$A103)*1)</f>
        <v>0</v>
      </c>
      <c r="D103" s="15">
        <f>IF($A103="",0,COUNTIF('Sprint W2'!$B$4:$B$8,$A103)*5+COUNTIF('Sprint W2'!$C$4:$C$8,$A103)*4+COUNTIF('Sprint W2'!$D$4:$D$8,$A103)*3+COUNTIF('Sprint W2'!$E$4:$E$8,$A103)*2+COUNTIF('Sprint W2'!$F$4:$F$8,$A103)*1)</f>
        <v>0</v>
      </c>
      <c r="E103" s="15">
        <f>IF($A103="",0,COUNTIF('Sprint W3'!$B$4:$B$8,$A103)*5+COUNTIF('Sprint W3'!$C$4:$C$8,$A103)*4+COUNTIF('Sprint W3'!$D$4:$D$8,$A103)*3+COUNTIF('Sprint W3'!$E$4:$E$8,$A103)*2+COUNTIF('Sprint W3'!$F$4:$F$8,$A103)*1)</f>
        <v>0</v>
      </c>
      <c r="F103" s="15">
        <f>IF($A103="",0,COUNTIF('Sprint W4'!$B$4:$B$8,$A103)*5+COUNTIF('Sprint W4'!$C$4:$C$8,$A103)*4+COUNTIF('Sprint W4'!$D$4:$D$8,$A103)*3+COUNTIF('Sprint W4'!$E$4:$E$8,$A103)*2+COUNTIF('Sprint W4'!$F$4:$F$8,$A103)*1)</f>
        <v>0</v>
      </c>
      <c r="G103" s="15">
        <f>IF($A103="",0,COUNTIF('Sprint W5'!$B$4:$B$8,$A103)*5+COUNTIF('Sprint W5'!$C$4:$C$8,$A103)*4+COUNTIF('Sprint W5'!$D$4:$D$8,$A103)*3+COUNTIF('Sprint W5'!$E$4:$E$8,$A103)*2+COUNTIF('Sprint W5'!$F$4:$F$8,$A103)*1)</f>
        <v>0</v>
      </c>
      <c r="H103" s="25" t="str">
        <f t="shared" si="6"/>
        <v/>
      </c>
      <c r="I103" s="26" t="str">
        <f t="shared" si="7"/>
        <v/>
      </c>
      <c r="AA103">
        <f>'Sprint W5'!D4</f>
        <v>0</v>
      </c>
      <c r="AB103">
        <f>IF(AA103="",0,IF(COUNTIF($AA$1:AA103,AA103)=1,1,0))</f>
        <v>0</v>
      </c>
      <c r="AC103" t="str">
        <f>IF(AB103=1,COUNTIF($AB$1:AB103,1),"")</f>
        <v/>
      </c>
    </row>
    <row r="104" spans="1:29" x14ac:dyDescent="0.25">
      <c r="AA104">
        <f>'Sprint W5'!E4</f>
        <v>0</v>
      </c>
      <c r="AB104">
        <f>IF(AA104="",0,IF(COUNTIF($AA$1:AA104,AA104)=1,1,0))</f>
        <v>0</v>
      </c>
      <c r="AC104" t="str">
        <f>IF(AB104=1,COUNTIF($AB$1:AB104,1),"")</f>
        <v/>
      </c>
    </row>
    <row r="105" spans="1:29" x14ac:dyDescent="0.25">
      <c r="AA105">
        <f>'Sprint W5'!F4</f>
        <v>0</v>
      </c>
      <c r="AB105">
        <f>IF(AA105="",0,IF(COUNTIF($AA$1:AA105,AA105)=1,1,0))</f>
        <v>0</v>
      </c>
      <c r="AC105" t="str">
        <f>IF(AB105=1,COUNTIF($AB$1:AB105,1),"")</f>
        <v/>
      </c>
    </row>
    <row r="106" spans="1:29" x14ac:dyDescent="0.25">
      <c r="AA106">
        <f>'Sprint W5'!B5</f>
        <v>0</v>
      </c>
      <c r="AB106">
        <f>IF(AA106="",0,IF(COUNTIF($AA$1:AA106,AA106)=1,1,0))</f>
        <v>0</v>
      </c>
      <c r="AC106" t="str">
        <f>IF(AB106=1,COUNTIF($AB$1:AB106,1),"")</f>
        <v/>
      </c>
    </row>
    <row r="107" spans="1:29" x14ac:dyDescent="0.25">
      <c r="AA107">
        <f>'Sprint W5'!C5</f>
        <v>0</v>
      </c>
      <c r="AB107">
        <f>IF(AA107="",0,IF(COUNTIF($AA$1:AA107,AA107)=1,1,0))</f>
        <v>0</v>
      </c>
      <c r="AC107" t="str">
        <f>IF(AB107=1,COUNTIF($AB$1:AB107,1),"")</f>
        <v/>
      </c>
    </row>
    <row r="108" spans="1:29" x14ac:dyDescent="0.25">
      <c r="AA108">
        <f>'Sprint W5'!D5</f>
        <v>0</v>
      </c>
      <c r="AB108">
        <f>IF(AA108="",0,IF(COUNTIF($AA$1:AA108,AA108)=1,1,0))</f>
        <v>0</v>
      </c>
      <c r="AC108" t="str">
        <f>IF(AB108=1,COUNTIF($AB$1:AB108,1),"")</f>
        <v/>
      </c>
    </row>
    <row r="109" spans="1:29" x14ac:dyDescent="0.25">
      <c r="AA109">
        <f>'Sprint W5'!E5</f>
        <v>0</v>
      </c>
      <c r="AB109">
        <f>IF(AA109="",0,IF(COUNTIF($AA$1:AA109,AA109)=1,1,0))</f>
        <v>0</v>
      </c>
      <c r="AC109" t="str">
        <f>IF(AB109=1,COUNTIF($AB$1:AB109,1),"")</f>
        <v/>
      </c>
    </row>
    <row r="110" spans="1:29" x14ac:dyDescent="0.25">
      <c r="AA110">
        <f>'Sprint W5'!F5</f>
        <v>0</v>
      </c>
      <c r="AB110">
        <f>IF(AA110="",0,IF(COUNTIF($AA$1:AA110,AA110)=1,1,0))</f>
        <v>0</v>
      </c>
      <c r="AC110" t="str">
        <f>IF(AB110=1,COUNTIF($AB$1:AB110,1),"")</f>
        <v/>
      </c>
    </row>
    <row r="111" spans="1:29" x14ac:dyDescent="0.25">
      <c r="AA111">
        <f>'Sprint W5'!B6</f>
        <v>0</v>
      </c>
      <c r="AB111">
        <f>IF(AA111="",0,IF(COUNTIF($AA$1:AA111,AA111)=1,1,0))</f>
        <v>0</v>
      </c>
      <c r="AC111" t="str">
        <f>IF(AB111=1,COUNTIF($AB$1:AB111,1),"")</f>
        <v/>
      </c>
    </row>
    <row r="112" spans="1:29" x14ac:dyDescent="0.25">
      <c r="AA112">
        <f>'Sprint W5'!C6</f>
        <v>0</v>
      </c>
      <c r="AB112">
        <f>IF(AA112="",0,IF(COUNTIF($AA$1:AA112,AA112)=1,1,0))</f>
        <v>0</v>
      </c>
      <c r="AC112" t="str">
        <f>IF(AB112=1,COUNTIF($AB$1:AB112,1),"")</f>
        <v/>
      </c>
    </row>
    <row r="113" spans="27:29" x14ac:dyDescent="0.25">
      <c r="AA113">
        <f>'Sprint W5'!D6</f>
        <v>0</v>
      </c>
      <c r="AB113">
        <f>IF(AA113="",0,IF(COUNTIF($AA$1:AA113,AA113)=1,1,0))</f>
        <v>0</v>
      </c>
      <c r="AC113" t="str">
        <f>IF(AB113=1,COUNTIF($AB$1:AB113,1),"")</f>
        <v/>
      </c>
    </row>
    <row r="114" spans="27:29" x14ac:dyDescent="0.25">
      <c r="AA114">
        <f>'Sprint W5'!E6</f>
        <v>0</v>
      </c>
      <c r="AB114">
        <f>IF(AA114="",0,IF(COUNTIF($AA$1:AA114,AA114)=1,1,0))</f>
        <v>0</v>
      </c>
      <c r="AC114" t="str">
        <f>IF(AB114=1,COUNTIF($AB$1:AB114,1),"")</f>
        <v/>
      </c>
    </row>
    <row r="115" spans="27:29" x14ac:dyDescent="0.25">
      <c r="AA115">
        <f>'Sprint W5'!F6</f>
        <v>0</v>
      </c>
      <c r="AB115">
        <f>IF(AA115="",0,IF(COUNTIF($AA$1:AA115,AA115)=1,1,0))</f>
        <v>0</v>
      </c>
      <c r="AC115" t="str">
        <f>IF(AB115=1,COUNTIF($AB$1:AB115,1),"")</f>
        <v/>
      </c>
    </row>
    <row r="116" spans="27:29" x14ac:dyDescent="0.25">
      <c r="AA116">
        <f>'Sprint W5'!B7</f>
        <v>0</v>
      </c>
      <c r="AB116">
        <f>IF(AA116="",0,IF(COUNTIF($AA$1:AA116,AA116)=1,1,0))</f>
        <v>0</v>
      </c>
      <c r="AC116" t="str">
        <f>IF(AB116=1,COUNTIF($AB$1:AB116,1),"")</f>
        <v/>
      </c>
    </row>
    <row r="117" spans="27:29" x14ac:dyDescent="0.25">
      <c r="AA117">
        <f>'Sprint W5'!C7</f>
        <v>0</v>
      </c>
      <c r="AB117">
        <f>IF(AA117="",0,IF(COUNTIF($AA$1:AA117,AA117)=1,1,0))</f>
        <v>0</v>
      </c>
      <c r="AC117" t="str">
        <f>IF(AB117=1,COUNTIF($AB$1:AB117,1),"")</f>
        <v/>
      </c>
    </row>
    <row r="118" spans="27:29" x14ac:dyDescent="0.25">
      <c r="AA118">
        <f>'Sprint W5'!D7</f>
        <v>0</v>
      </c>
      <c r="AB118">
        <f>IF(AA118="",0,IF(COUNTIF($AA$1:AA118,AA118)=1,1,0))</f>
        <v>0</v>
      </c>
      <c r="AC118" t="str">
        <f>IF(AB118=1,COUNTIF($AB$1:AB118,1),"")</f>
        <v/>
      </c>
    </row>
    <row r="119" spans="27:29" x14ac:dyDescent="0.25">
      <c r="AA119">
        <f>'Sprint W5'!E7</f>
        <v>0</v>
      </c>
      <c r="AB119">
        <f>IF(AA119="",0,IF(COUNTIF($AA$1:AA119,AA119)=1,1,0))</f>
        <v>0</v>
      </c>
      <c r="AC119" t="str">
        <f>IF(AB119=1,COUNTIF($AB$1:AB119,1),"")</f>
        <v/>
      </c>
    </row>
    <row r="120" spans="27:29" x14ac:dyDescent="0.25">
      <c r="AA120">
        <f>'Sprint W5'!F7</f>
        <v>0</v>
      </c>
      <c r="AB120">
        <f>IF(AA120="",0,IF(COUNTIF($AA$1:AA120,AA120)=1,1,0))</f>
        <v>0</v>
      </c>
      <c r="AC120" t="str">
        <f>IF(AB120=1,COUNTIF($AB$1:AB120,1),"")</f>
        <v/>
      </c>
    </row>
    <row r="121" spans="27:29" x14ac:dyDescent="0.25">
      <c r="AA121">
        <f>'Sprint W5'!B8</f>
        <v>0</v>
      </c>
      <c r="AB121">
        <f>IF(AA121="",0,IF(COUNTIF($AA$1:AA121,AA121)=1,1,0))</f>
        <v>0</v>
      </c>
      <c r="AC121" t="str">
        <f>IF(AB121=1,COUNTIF($AB$1:AB121,1),"")</f>
        <v/>
      </c>
    </row>
    <row r="122" spans="27:29" x14ac:dyDescent="0.25">
      <c r="AA122">
        <f>'Sprint W5'!C8</f>
        <v>0</v>
      </c>
      <c r="AB122">
        <f>IF(AA122="",0,IF(COUNTIF($AA$1:AA122,AA122)=1,1,0))</f>
        <v>0</v>
      </c>
      <c r="AC122" t="str">
        <f>IF(AB122=1,COUNTIF($AB$1:AB122,1),"")</f>
        <v/>
      </c>
    </row>
    <row r="123" spans="27:29" x14ac:dyDescent="0.25">
      <c r="AA123">
        <f>'Sprint W5'!D8</f>
        <v>0</v>
      </c>
      <c r="AB123">
        <f>IF(AA123="",0,IF(COUNTIF($AA$1:AA123,AA123)=1,1,0))</f>
        <v>0</v>
      </c>
      <c r="AC123" t="str">
        <f>IF(AB123=1,COUNTIF($AB$1:AB123,1),"")</f>
        <v/>
      </c>
    </row>
    <row r="124" spans="27:29" x14ac:dyDescent="0.25">
      <c r="AA124">
        <f>'Sprint W5'!E8</f>
        <v>0</v>
      </c>
      <c r="AB124">
        <f>IF(AA124="",0,IF(COUNTIF($AA$1:AA124,AA124)=1,1,0))</f>
        <v>0</v>
      </c>
      <c r="AC124" t="str">
        <f>IF(AB124=1,COUNTIF($AB$1:AB124,1),"")</f>
        <v/>
      </c>
    </row>
    <row r="125" spans="27:29" x14ac:dyDescent="0.25">
      <c r="AA125">
        <f>'Sprint W5'!F8</f>
        <v>0</v>
      </c>
      <c r="AB125">
        <f>IF(AA125="",0,IF(COUNTIF($AA$1:AA125,AA125)=1,1,0))</f>
        <v>0</v>
      </c>
      <c r="AC125" t="str">
        <f>IF(AB125=1,COUNTIF($AB$1:AB125,1),"")</f>
        <v/>
      </c>
    </row>
  </sheetData>
  <autoFilter ref="A3:I103" xr:uid="{00000000-0009-0000-0000-00000F000000}"/>
  <sortState xmlns:xlrd2="http://schemas.microsoft.com/office/spreadsheetml/2017/richdata2" ref="A4:I125">
    <sortCondition ref="I3:I125"/>
  </sortState>
  <mergeCells count="2">
    <mergeCell ref="A1:I1"/>
    <mergeCell ref="A2:I2"/>
  </mergeCells>
  <pageMargins left="0.75" right="0.75" top="1" bottom="1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C125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3" sqref="I1:I1048576"/>
    </sheetView>
  </sheetViews>
  <sheetFormatPr defaultColWidth="8.7109375" defaultRowHeight="15" x14ac:dyDescent="0.25"/>
  <cols>
    <col min="1" max="1" width="28" customWidth="1"/>
    <col min="2" max="2" width="24" customWidth="1"/>
    <col min="3" max="7" width="8" customWidth="1"/>
    <col min="8" max="9" width="10" customWidth="1"/>
    <col min="27" max="29" width="13" hidden="1" customWidth="1"/>
  </cols>
  <sheetData>
    <row r="1" spans="1:29" ht="18" x14ac:dyDescent="0.25">
      <c r="A1" s="46" t="s">
        <v>183</v>
      </c>
      <c r="B1" s="46"/>
      <c r="C1" s="46"/>
      <c r="D1" s="46"/>
      <c r="E1" s="46"/>
      <c r="F1" s="46"/>
      <c r="G1" s="46"/>
      <c r="H1" s="46"/>
      <c r="I1" s="46"/>
      <c r="AA1">
        <f>'Sprint W1'!B12</f>
        <v>0</v>
      </c>
      <c r="AB1">
        <f>IF(AA1="",0,IF(COUNTIF($AA$1:AA1,AA1)=1,1,0))</f>
        <v>1</v>
      </c>
      <c r="AC1">
        <f>IF(AB1=1,COUNTIF($AB$1:AB1,1),"")</f>
        <v>1</v>
      </c>
    </row>
    <row r="2" spans="1:29" x14ac:dyDescent="0.25">
      <c r="A2" s="43" t="s">
        <v>177</v>
      </c>
      <c r="B2" s="43"/>
      <c r="C2" s="43"/>
      <c r="D2" s="43"/>
      <c r="E2" s="43"/>
      <c r="F2" s="43"/>
      <c r="G2" s="43"/>
      <c r="H2" s="43"/>
      <c r="I2" s="43"/>
      <c r="AA2">
        <f>'Sprint W1'!C12</f>
        <v>0</v>
      </c>
      <c r="AB2">
        <f>IF(AA2="",0,IF(COUNTIF($AA$1:AA2,AA2)=1,1,0))</f>
        <v>0</v>
      </c>
      <c r="AC2" t="str">
        <f>IF(AB2=1,COUNTIF($AB$1:AB2,1),"")</f>
        <v/>
      </c>
    </row>
    <row r="3" spans="1:29" x14ac:dyDescent="0.25">
      <c r="A3" s="32" t="s">
        <v>27</v>
      </c>
      <c r="B3" s="32" t="s">
        <v>29</v>
      </c>
      <c r="C3" s="32" t="s">
        <v>178</v>
      </c>
      <c r="D3" s="32" t="s">
        <v>179</v>
      </c>
      <c r="E3" s="32" t="s">
        <v>180</v>
      </c>
      <c r="F3" s="32" t="s">
        <v>181</v>
      </c>
      <c r="G3" s="32" t="s">
        <v>182</v>
      </c>
      <c r="H3" s="32" t="s">
        <v>155</v>
      </c>
      <c r="I3" s="32" t="s">
        <v>25</v>
      </c>
      <c r="AA3">
        <f>'Sprint W1'!D12</f>
        <v>0</v>
      </c>
      <c r="AB3">
        <f>IF(AA3="",0,IF(COUNTIF($AA$1:AA3,AA3)=1,1,0))</f>
        <v>0</v>
      </c>
      <c r="AC3" t="str">
        <f>IF(AB3=1,COUNTIF($AB$1:AB3,1),"")</f>
        <v/>
      </c>
    </row>
    <row r="4" spans="1:29" x14ac:dyDescent="0.25">
      <c r="A4" s="13" t="str">
        <f>IFERROR(INDEX($AA$1:$AA$125,MATCH(3,$AC$1:$AC$125,0)),"")</f>
        <v>Douwe Beukers</v>
      </c>
      <c r="B4" s="33"/>
      <c r="C4" s="15">
        <f>IF($A4="",0,COUNTIF('Sprint W1'!$B$12:$B$16,$A4)*5+COUNTIF('Sprint W1'!$C$12:$C$16,$A4)*4+COUNTIF('Sprint W1'!$D$12:$D$16,$A4)*3+COUNTIF('Sprint W1'!$E$12:$E$16,$A4)*2+COUNTIF('Sprint W1'!$F$12:$F$16,$A4)*1)</f>
        <v>0</v>
      </c>
      <c r="D4" s="15">
        <f>IF($A4="",0,COUNTIF('Sprint W2'!$B$12:$B$16,$A4)*5+COUNTIF('Sprint W2'!$C$12:$C$16,$A4)*4+COUNTIF('Sprint W2'!$D$12:$D$16,$A4)*3+COUNTIF('Sprint W2'!$E$12:$E$16,$A4)*2+COUNTIF('Sprint W2'!$F$12:$F$16,$A4)*1)</f>
        <v>0</v>
      </c>
      <c r="E4" s="15">
        <f>IF($A4="",0,COUNTIF('Sprint W3'!$B$12:$B$16,$A4)*5+COUNTIF('Sprint W3'!$C$12:$C$16,$A4)*4+COUNTIF('Sprint W3'!$D$12:$D$16,$A4)*3+COUNTIF('Sprint W3'!$E$12:$E$16,$A4)*2+COUNTIF('Sprint W3'!$F$12:$F$16,$A4)*1)</f>
        <v>17</v>
      </c>
      <c r="F4" s="15">
        <f>IF($A4="",0,COUNTIF('Sprint W4'!$B$12:$B$16,$A4)*5+COUNTIF('Sprint W4'!$C$12:$C$16,$A4)*4+COUNTIF('Sprint W4'!$D$12:$D$16,$A4)*3+COUNTIF('Sprint W4'!$E$12:$E$16,$A4)*2+COUNTIF('Sprint W4'!$F$12:$F$16,$A4)*1)</f>
        <v>0</v>
      </c>
      <c r="G4" s="15">
        <f>IF($A4="",0,COUNTIF('Sprint W5'!$B$12:$B$16,$A4)*5+COUNTIF('Sprint W5'!$C$12:$C$16,$A4)*4+COUNTIF('Sprint W5'!$D$12:$D$16,$A4)*3+COUNTIF('Sprint W5'!$E$12:$E$16,$A4)*2+COUNTIF('Sprint W5'!$F$12:$F$16,$A4)*1)</f>
        <v>0</v>
      </c>
      <c r="H4" s="25">
        <f t="shared" ref="H4:H35" si="0">IF($A4="","",C4+D4+E4+F4+G4)</f>
        <v>17</v>
      </c>
      <c r="I4" s="26">
        <f t="shared" ref="I4:I35" si="1">IF(OR($A4="",H4="",H4=0),"",RANK(H4,$H$4:$H$103,0))</f>
        <v>1</v>
      </c>
      <c r="AA4">
        <f>'Sprint W1'!E12</f>
        <v>0</v>
      </c>
      <c r="AB4">
        <f>IF(AA4="",0,IF(COUNTIF($AA$1:AA4,AA4)=1,1,0))</f>
        <v>0</v>
      </c>
      <c r="AC4" t="str">
        <f>IF(AB4=1,COUNTIF($AB$1:AB4,1),"")</f>
        <v/>
      </c>
    </row>
    <row r="5" spans="1:29" x14ac:dyDescent="0.25">
      <c r="A5" s="13" t="str">
        <f>IFERROR(INDEX($AA$1:$AA$125,MATCH(4,$AC$1:$AC$125,0)),"")</f>
        <v>Floris Pennings</v>
      </c>
      <c r="B5" s="33"/>
      <c r="C5" s="15">
        <f>IF($A5="",0,COUNTIF('Sprint W1'!$B$12:$B$16,$A5)*5+COUNTIF('Sprint W1'!$C$12:$C$16,$A5)*4+COUNTIF('Sprint W1'!$D$12:$D$16,$A5)*3+COUNTIF('Sprint W1'!$E$12:$E$16,$A5)*2+COUNTIF('Sprint W1'!$F$12:$F$16,$A5)*1)</f>
        <v>0</v>
      </c>
      <c r="D5" s="15">
        <f>IF($A5="",0,COUNTIF('Sprint W2'!$B$12:$B$16,$A5)*5+COUNTIF('Sprint W2'!$C$12:$C$16,$A5)*4+COUNTIF('Sprint W2'!$D$12:$D$16,$A5)*3+COUNTIF('Sprint W2'!$E$12:$E$16,$A5)*2+COUNTIF('Sprint W2'!$F$12:$F$16,$A5)*1)</f>
        <v>0</v>
      </c>
      <c r="E5" s="15">
        <f>IF($A5="",0,COUNTIF('Sprint W3'!$B$12:$B$16,$A5)*5+COUNTIF('Sprint W3'!$C$12:$C$16,$A5)*4+COUNTIF('Sprint W3'!$D$12:$D$16,$A5)*3+COUNTIF('Sprint W3'!$E$12:$E$16,$A5)*2+COUNTIF('Sprint W3'!$F$12:$F$16,$A5)*1)</f>
        <v>16</v>
      </c>
      <c r="F5" s="15">
        <f>IF($A5="",0,COUNTIF('Sprint W4'!$B$12:$B$16,$A5)*5+COUNTIF('Sprint W4'!$C$12:$C$16,$A5)*4+COUNTIF('Sprint W4'!$D$12:$D$16,$A5)*3+COUNTIF('Sprint W4'!$E$12:$E$16,$A5)*2+COUNTIF('Sprint W4'!$F$12:$F$16,$A5)*1)</f>
        <v>0</v>
      </c>
      <c r="G5" s="15">
        <f>IF($A5="",0,COUNTIF('Sprint W5'!$B$12:$B$16,$A5)*5+COUNTIF('Sprint W5'!$C$12:$C$16,$A5)*4+COUNTIF('Sprint W5'!$D$12:$D$16,$A5)*3+COUNTIF('Sprint W5'!$E$12:$E$16,$A5)*2+COUNTIF('Sprint W5'!$F$12:$F$16,$A5)*1)</f>
        <v>0</v>
      </c>
      <c r="H5" s="25">
        <f t="shared" si="0"/>
        <v>16</v>
      </c>
      <c r="I5" s="26">
        <f t="shared" si="1"/>
        <v>2</v>
      </c>
      <c r="AA5">
        <f>'Sprint W1'!F12</f>
        <v>0</v>
      </c>
      <c r="AB5">
        <f>IF(AA5="",0,IF(COUNTIF($AA$1:AA5,AA5)=1,1,0))</f>
        <v>0</v>
      </c>
      <c r="AC5" t="str">
        <f>IF(AB5=1,COUNTIF($AB$1:AB5,1),"")</f>
        <v/>
      </c>
    </row>
    <row r="6" spans="1:29" x14ac:dyDescent="0.25">
      <c r="A6" s="13" t="str">
        <f>IFERROR(INDEX($AA$1:$AA$125,MATCH(2,$AC$1:$AC$125,0)),"")</f>
        <v>Stephan Schipper</v>
      </c>
      <c r="B6" s="33"/>
      <c r="C6" s="15">
        <f>IF($A6="",0,COUNTIF('Sprint W1'!$B$12:$B$16,$A6)*5+COUNTIF('Sprint W1'!$C$12:$C$16,$A6)*4+COUNTIF('Sprint W1'!$D$12:$D$16,$A6)*3+COUNTIF('Sprint W1'!$E$12:$E$16,$A6)*2+COUNTIF('Sprint W1'!$F$12:$F$16,$A6)*1)</f>
        <v>0</v>
      </c>
      <c r="D6" s="15">
        <f>IF($A6="",0,COUNTIF('Sprint W2'!$B$12:$B$16,$A6)*5+COUNTIF('Sprint W2'!$C$12:$C$16,$A6)*4+COUNTIF('Sprint W2'!$D$12:$D$16,$A6)*3+COUNTIF('Sprint W2'!$E$12:$E$16,$A6)*2+COUNTIF('Sprint W2'!$F$12:$F$16,$A6)*1)</f>
        <v>0</v>
      </c>
      <c r="E6" s="15">
        <f>IF($A6="",0,COUNTIF('Sprint W3'!$B$12:$B$16,$A6)*5+COUNTIF('Sprint W3'!$C$12:$C$16,$A6)*4+COUNTIF('Sprint W3'!$D$12:$D$16,$A6)*3+COUNTIF('Sprint W3'!$E$12:$E$16,$A6)*2+COUNTIF('Sprint W3'!$F$12:$F$16,$A6)*1)</f>
        <v>15</v>
      </c>
      <c r="F6" s="15">
        <f>IF($A6="",0,COUNTIF('Sprint W4'!$B$12:$B$16,$A6)*5+COUNTIF('Sprint W4'!$C$12:$C$16,$A6)*4+COUNTIF('Sprint W4'!$D$12:$D$16,$A6)*3+COUNTIF('Sprint W4'!$E$12:$E$16,$A6)*2+COUNTIF('Sprint W4'!$F$12:$F$16,$A6)*1)</f>
        <v>0</v>
      </c>
      <c r="G6" s="15">
        <f>IF($A6="",0,COUNTIF('Sprint W5'!$B$12:$B$16,$A6)*5+COUNTIF('Sprint W5'!$C$12:$C$16,$A6)*4+COUNTIF('Sprint W5'!$D$12:$D$16,$A6)*3+COUNTIF('Sprint W5'!$E$12:$E$16,$A6)*2+COUNTIF('Sprint W5'!$F$12:$F$16,$A6)*1)</f>
        <v>0</v>
      </c>
      <c r="H6" s="25">
        <f t="shared" si="0"/>
        <v>15</v>
      </c>
      <c r="I6" s="26">
        <f t="shared" si="1"/>
        <v>3</v>
      </c>
      <c r="AA6">
        <f>'Sprint W1'!B13</f>
        <v>0</v>
      </c>
      <c r="AB6">
        <f>IF(AA6="",0,IF(COUNTIF($AA$1:AA6,AA6)=1,1,0))</f>
        <v>0</v>
      </c>
      <c r="AC6" t="str">
        <f>IF(AB6=1,COUNTIF($AB$1:AB6,1),"")</f>
        <v/>
      </c>
    </row>
    <row r="7" spans="1:29" x14ac:dyDescent="0.25">
      <c r="A7" s="13" t="str">
        <f>IFERROR(INDEX($AA$1:$AA$125,MATCH(9,$AC$1:$AC$125,0)),"")</f>
        <v>Steven van der Wilk</v>
      </c>
      <c r="B7" s="33"/>
      <c r="C7" s="15">
        <f>IF($A7="",0,COUNTIF('Sprint W1'!$B$12:$B$16,$A7)*5+COUNTIF('Sprint W1'!$C$12:$C$16,$A7)*4+COUNTIF('Sprint W1'!$D$12:$D$16,$A7)*3+COUNTIF('Sprint W1'!$E$12:$E$16,$A7)*2+COUNTIF('Sprint W1'!$F$12:$F$16,$A7)*1)</f>
        <v>0</v>
      </c>
      <c r="D7" s="15">
        <f>IF($A7="",0,COUNTIF('Sprint W2'!$B$12:$B$16,$A7)*5+COUNTIF('Sprint W2'!$C$12:$C$16,$A7)*4+COUNTIF('Sprint W2'!$D$12:$D$16,$A7)*3+COUNTIF('Sprint W2'!$E$12:$E$16,$A7)*2+COUNTIF('Sprint W2'!$F$12:$F$16,$A7)*1)</f>
        <v>0</v>
      </c>
      <c r="E7" s="15">
        <f>IF($A7="",0,COUNTIF('Sprint W3'!$B$12:$B$16,$A7)*5+COUNTIF('Sprint W3'!$C$12:$C$16,$A7)*4+COUNTIF('Sprint W3'!$D$12:$D$16,$A7)*3+COUNTIF('Sprint W3'!$E$12:$E$16,$A7)*2+COUNTIF('Sprint W3'!$F$12:$F$16,$A7)*1)</f>
        <v>4</v>
      </c>
      <c r="F7" s="15">
        <f>IF($A7="",0,COUNTIF('Sprint W4'!$B$12:$B$16,$A7)*5+COUNTIF('Sprint W4'!$C$12:$C$16,$A7)*4+COUNTIF('Sprint W4'!$D$12:$D$16,$A7)*3+COUNTIF('Sprint W4'!$E$12:$E$16,$A7)*2+COUNTIF('Sprint W4'!$F$12:$F$16,$A7)*1)</f>
        <v>0</v>
      </c>
      <c r="G7" s="15">
        <f>IF($A7="",0,COUNTIF('Sprint W5'!$B$12:$B$16,$A7)*5+COUNTIF('Sprint W5'!$C$12:$C$16,$A7)*4+COUNTIF('Sprint W5'!$D$12:$D$16,$A7)*3+COUNTIF('Sprint W5'!$E$12:$E$16,$A7)*2+COUNTIF('Sprint W5'!$F$12:$F$16,$A7)*1)</f>
        <v>0</v>
      </c>
      <c r="H7" s="25">
        <f t="shared" si="0"/>
        <v>4</v>
      </c>
      <c r="I7" s="26">
        <f t="shared" si="1"/>
        <v>4</v>
      </c>
      <c r="AA7">
        <f>'Sprint W1'!C13</f>
        <v>0</v>
      </c>
      <c r="AB7">
        <f>IF(AA7="",0,IF(COUNTIF($AA$1:AA7,AA7)=1,1,0))</f>
        <v>0</v>
      </c>
      <c r="AC7" t="str">
        <f>IF(AB7=1,COUNTIF($AB$1:AB7,1),"")</f>
        <v/>
      </c>
    </row>
    <row r="8" spans="1:29" x14ac:dyDescent="0.25">
      <c r="A8" s="13" t="str">
        <f>IFERROR(INDEX($AA$1:$AA$125,MATCH(5,$AC$1:$AC$125,0)),"")</f>
        <v>Jacob Meijer</v>
      </c>
      <c r="B8" s="33"/>
      <c r="C8" s="15">
        <f>IF($A8="",0,COUNTIF('Sprint W1'!$B$12:$B$16,$A8)*5+COUNTIF('Sprint W1'!$C$12:$C$16,$A8)*4+COUNTIF('Sprint W1'!$D$12:$D$16,$A8)*3+COUNTIF('Sprint W1'!$E$12:$E$16,$A8)*2+COUNTIF('Sprint W1'!$F$12:$F$16,$A8)*1)</f>
        <v>0</v>
      </c>
      <c r="D8" s="15">
        <f>IF($A8="",0,COUNTIF('Sprint W2'!$B$12:$B$16,$A8)*5+COUNTIF('Sprint W2'!$C$12:$C$16,$A8)*4+COUNTIF('Sprint W2'!$D$12:$D$16,$A8)*3+COUNTIF('Sprint W2'!$E$12:$E$16,$A8)*2+COUNTIF('Sprint W2'!$F$12:$F$16,$A8)*1)</f>
        <v>0</v>
      </c>
      <c r="E8" s="15">
        <f>IF($A8="",0,COUNTIF('Sprint W3'!$B$12:$B$16,$A8)*5+COUNTIF('Sprint W3'!$C$12:$C$16,$A8)*4+COUNTIF('Sprint W3'!$D$12:$D$16,$A8)*3+COUNTIF('Sprint W3'!$E$12:$E$16,$A8)*2+COUNTIF('Sprint W3'!$F$12:$F$16,$A8)*1)</f>
        <v>2</v>
      </c>
      <c r="F8" s="15">
        <f>IF($A8="",0,COUNTIF('Sprint W4'!$B$12:$B$16,$A8)*5+COUNTIF('Sprint W4'!$C$12:$C$16,$A8)*4+COUNTIF('Sprint W4'!$D$12:$D$16,$A8)*3+COUNTIF('Sprint W4'!$E$12:$E$16,$A8)*2+COUNTIF('Sprint W4'!$F$12:$F$16,$A8)*1)</f>
        <v>0</v>
      </c>
      <c r="G8" s="15">
        <f>IF($A8="",0,COUNTIF('Sprint W5'!$B$12:$B$16,$A8)*5+COUNTIF('Sprint W5'!$C$12:$C$16,$A8)*4+COUNTIF('Sprint W5'!$D$12:$D$16,$A8)*3+COUNTIF('Sprint W5'!$E$12:$E$16,$A8)*2+COUNTIF('Sprint W5'!$F$12:$F$16,$A8)*1)</f>
        <v>0</v>
      </c>
      <c r="H8" s="25">
        <f t="shared" si="0"/>
        <v>2</v>
      </c>
      <c r="I8" s="26">
        <f t="shared" si="1"/>
        <v>5</v>
      </c>
      <c r="AA8">
        <f>'Sprint W1'!D13</f>
        <v>0</v>
      </c>
      <c r="AB8">
        <f>IF(AA8="",0,IF(COUNTIF($AA$1:AA8,AA8)=1,1,0))</f>
        <v>0</v>
      </c>
      <c r="AC8" t="str">
        <f>IF(AB8=1,COUNTIF($AB$1:AB8,1),"")</f>
        <v/>
      </c>
    </row>
    <row r="9" spans="1:29" x14ac:dyDescent="0.25">
      <c r="A9" s="13" t="str">
        <f>IFERROR(INDEX($AA$1:$AA$125,MATCH(7,$AC$1:$AC$125,0)),"")</f>
        <v>Steven van de Wilk</v>
      </c>
      <c r="B9" s="33"/>
      <c r="C9" s="15">
        <f>IF($A9="",0,COUNTIF('Sprint W1'!$B$12:$B$16,$A9)*5+COUNTIF('Sprint W1'!$C$12:$C$16,$A9)*4+COUNTIF('Sprint W1'!$D$12:$D$16,$A9)*3+COUNTIF('Sprint W1'!$E$12:$E$16,$A9)*2+COUNTIF('Sprint W1'!$F$12:$F$16,$A9)*1)</f>
        <v>0</v>
      </c>
      <c r="D9" s="15">
        <f>IF($A9="",0,COUNTIF('Sprint W2'!$B$12:$B$16,$A9)*5+COUNTIF('Sprint W2'!$C$12:$C$16,$A9)*4+COUNTIF('Sprint W2'!$D$12:$D$16,$A9)*3+COUNTIF('Sprint W2'!$E$12:$E$16,$A9)*2+COUNTIF('Sprint W2'!$F$12:$F$16,$A9)*1)</f>
        <v>0</v>
      </c>
      <c r="E9" s="15">
        <f>IF($A9="",0,COUNTIF('Sprint W3'!$B$12:$B$16,$A9)*5+COUNTIF('Sprint W3'!$C$12:$C$16,$A9)*4+COUNTIF('Sprint W3'!$D$12:$D$16,$A9)*3+COUNTIF('Sprint W3'!$E$12:$E$16,$A9)*2+COUNTIF('Sprint W3'!$F$12:$F$16,$A9)*1)</f>
        <v>2</v>
      </c>
      <c r="F9" s="15">
        <f>IF($A9="",0,COUNTIF('Sprint W4'!$B$12:$B$16,$A9)*5+COUNTIF('Sprint W4'!$C$12:$C$16,$A9)*4+COUNTIF('Sprint W4'!$D$12:$D$16,$A9)*3+COUNTIF('Sprint W4'!$E$12:$E$16,$A9)*2+COUNTIF('Sprint W4'!$F$12:$F$16,$A9)*1)</f>
        <v>0</v>
      </c>
      <c r="G9" s="15">
        <f>IF($A9="",0,COUNTIF('Sprint W5'!$B$12:$B$16,$A9)*5+COUNTIF('Sprint W5'!$C$12:$C$16,$A9)*4+COUNTIF('Sprint W5'!$D$12:$D$16,$A9)*3+COUNTIF('Sprint W5'!$E$12:$E$16,$A9)*2+COUNTIF('Sprint W5'!$F$12:$F$16,$A9)*1)</f>
        <v>0</v>
      </c>
      <c r="H9" s="25">
        <f t="shared" si="0"/>
        <v>2</v>
      </c>
      <c r="I9" s="26">
        <f t="shared" si="1"/>
        <v>5</v>
      </c>
      <c r="AA9">
        <f>'Sprint W1'!E13</f>
        <v>0</v>
      </c>
      <c r="AB9">
        <f>IF(AA9="",0,IF(COUNTIF($AA$1:AA9,AA9)=1,1,0))</f>
        <v>0</v>
      </c>
      <c r="AC9" t="str">
        <f>IF(AB9=1,COUNTIF($AB$1:AB9,1),"")</f>
        <v/>
      </c>
    </row>
    <row r="10" spans="1:29" x14ac:dyDescent="0.25">
      <c r="A10" s="13" t="str">
        <f>IFERROR(INDEX($AA$1:$AA$125,MATCH(10,$AC$1:$AC$125,0)),"")</f>
        <v>Dennis Gerressen</v>
      </c>
      <c r="B10" s="33"/>
      <c r="C10" s="15">
        <f>IF($A10="",0,COUNTIF('Sprint W1'!$B$12:$B$16,$A10)*5+COUNTIF('Sprint W1'!$C$12:$C$16,$A10)*4+COUNTIF('Sprint W1'!$D$12:$D$16,$A10)*3+COUNTIF('Sprint W1'!$E$12:$E$16,$A10)*2+COUNTIF('Sprint W1'!$F$12:$F$16,$A10)*1)</f>
        <v>0</v>
      </c>
      <c r="D10" s="15">
        <f>IF($A10="",0,COUNTIF('Sprint W2'!$B$12:$B$16,$A10)*5+COUNTIF('Sprint W2'!$C$12:$C$16,$A10)*4+COUNTIF('Sprint W2'!$D$12:$D$16,$A10)*3+COUNTIF('Sprint W2'!$E$12:$E$16,$A10)*2+COUNTIF('Sprint W2'!$F$12:$F$16,$A10)*1)</f>
        <v>0</v>
      </c>
      <c r="E10" s="15">
        <f>IF($A10="",0,COUNTIF('Sprint W3'!$B$12:$B$16,$A10)*5+COUNTIF('Sprint W3'!$C$12:$C$16,$A10)*4+COUNTIF('Sprint W3'!$D$12:$D$16,$A10)*3+COUNTIF('Sprint W3'!$E$12:$E$16,$A10)*2+COUNTIF('Sprint W3'!$F$12:$F$16,$A10)*1)</f>
        <v>2</v>
      </c>
      <c r="F10" s="15">
        <f>IF($A10="",0,COUNTIF('Sprint W4'!$B$12:$B$16,$A10)*5+COUNTIF('Sprint W4'!$C$12:$C$16,$A10)*4+COUNTIF('Sprint W4'!$D$12:$D$16,$A10)*3+COUNTIF('Sprint W4'!$E$12:$E$16,$A10)*2+COUNTIF('Sprint W4'!$F$12:$F$16,$A10)*1)</f>
        <v>0</v>
      </c>
      <c r="G10" s="15">
        <f>IF($A10="",0,COUNTIF('Sprint W5'!$B$12:$B$16,$A10)*5+COUNTIF('Sprint W5'!$C$12:$C$16,$A10)*4+COUNTIF('Sprint W5'!$D$12:$D$16,$A10)*3+COUNTIF('Sprint W5'!$E$12:$E$16,$A10)*2+COUNTIF('Sprint W5'!$F$12:$F$16,$A10)*1)</f>
        <v>0</v>
      </c>
      <c r="H10" s="25">
        <f t="shared" si="0"/>
        <v>2</v>
      </c>
      <c r="I10" s="26">
        <f t="shared" si="1"/>
        <v>5</v>
      </c>
      <c r="AA10">
        <f>'Sprint W1'!F13</f>
        <v>0</v>
      </c>
      <c r="AB10">
        <f>IF(AA10="",0,IF(COUNTIF($AA$1:AA10,AA10)=1,1,0))</f>
        <v>0</v>
      </c>
      <c r="AC10" t="str">
        <f>IF(AB10=1,COUNTIF($AB$1:AB10,1),"")</f>
        <v/>
      </c>
    </row>
    <row r="11" spans="1:29" x14ac:dyDescent="0.25">
      <c r="A11" s="13" t="str">
        <f>IFERROR(INDEX($AA$1:$AA$125,MATCH(6,$AC$1:$AC$125,0)),"")</f>
        <v>Jamon van Veldhuizen</v>
      </c>
      <c r="B11" s="33"/>
      <c r="C11" s="15">
        <f>IF($A11="",0,COUNTIF('Sprint W1'!$B$12:$B$16,$A11)*5+COUNTIF('Sprint W1'!$C$12:$C$16,$A11)*4+COUNTIF('Sprint W1'!$D$12:$D$16,$A11)*3+COUNTIF('Sprint W1'!$E$12:$E$16,$A11)*2+COUNTIF('Sprint W1'!$F$12:$F$16,$A11)*1)</f>
        <v>0</v>
      </c>
      <c r="D11" s="15">
        <f>IF($A11="",0,COUNTIF('Sprint W2'!$B$12:$B$16,$A11)*5+COUNTIF('Sprint W2'!$C$12:$C$16,$A11)*4+COUNTIF('Sprint W2'!$D$12:$D$16,$A11)*3+COUNTIF('Sprint W2'!$E$12:$E$16,$A11)*2+COUNTIF('Sprint W2'!$F$12:$F$16,$A11)*1)</f>
        <v>0</v>
      </c>
      <c r="E11" s="15">
        <f>IF($A11="",0,COUNTIF('Sprint W3'!$B$12:$B$16,$A11)*5+COUNTIF('Sprint W3'!$C$12:$C$16,$A11)*4+COUNTIF('Sprint W3'!$D$12:$D$16,$A11)*3+COUNTIF('Sprint W3'!$E$12:$E$16,$A11)*2+COUNTIF('Sprint W3'!$F$12:$F$16,$A11)*1)</f>
        <v>1</v>
      </c>
      <c r="F11" s="15">
        <f>IF($A11="",0,COUNTIF('Sprint W4'!$B$12:$B$16,$A11)*5+COUNTIF('Sprint W4'!$C$12:$C$16,$A11)*4+COUNTIF('Sprint W4'!$D$12:$D$16,$A11)*3+COUNTIF('Sprint W4'!$E$12:$E$16,$A11)*2+COUNTIF('Sprint W4'!$F$12:$F$16,$A11)*1)</f>
        <v>0</v>
      </c>
      <c r="G11" s="15">
        <f>IF($A11="",0,COUNTIF('Sprint W5'!$B$12:$B$16,$A11)*5+COUNTIF('Sprint W5'!$C$12:$C$16,$A11)*4+COUNTIF('Sprint W5'!$D$12:$D$16,$A11)*3+COUNTIF('Sprint W5'!$E$12:$E$16,$A11)*2+COUNTIF('Sprint W5'!$F$12:$F$16,$A11)*1)</f>
        <v>0</v>
      </c>
      <c r="H11" s="25">
        <f t="shared" si="0"/>
        <v>1</v>
      </c>
      <c r="I11" s="26">
        <f t="shared" si="1"/>
        <v>8</v>
      </c>
      <c r="AA11">
        <f>'Sprint W1'!B14</f>
        <v>0</v>
      </c>
      <c r="AB11">
        <f>IF(AA11="",0,IF(COUNTIF($AA$1:AA11,AA11)=1,1,0))</f>
        <v>0</v>
      </c>
      <c r="AC11" t="str">
        <f>IF(AB11=1,COUNTIF($AB$1:AB11,1),"")</f>
        <v/>
      </c>
    </row>
    <row r="12" spans="1:29" x14ac:dyDescent="0.25">
      <c r="A12" s="13" t="str">
        <f>IFERROR(INDEX($AA$1:$AA$125,MATCH(8,$AC$1:$AC$125,0)),"")</f>
        <v>Etienne Bouw</v>
      </c>
      <c r="B12" s="33"/>
      <c r="C12" s="15">
        <f>IF($A12="",0,COUNTIF('Sprint W1'!$B$12:$B$16,$A12)*5+COUNTIF('Sprint W1'!$C$12:$C$16,$A12)*4+COUNTIF('Sprint W1'!$D$12:$D$16,$A12)*3+COUNTIF('Sprint W1'!$E$12:$E$16,$A12)*2+COUNTIF('Sprint W1'!$F$12:$F$16,$A12)*1)</f>
        <v>0</v>
      </c>
      <c r="D12" s="15">
        <f>IF($A12="",0,COUNTIF('Sprint W2'!$B$12:$B$16,$A12)*5+COUNTIF('Sprint W2'!$C$12:$C$16,$A12)*4+COUNTIF('Sprint W2'!$D$12:$D$16,$A12)*3+COUNTIF('Sprint W2'!$E$12:$E$16,$A12)*2+COUNTIF('Sprint W2'!$F$12:$F$16,$A12)*1)</f>
        <v>0</v>
      </c>
      <c r="E12" s="15">
        <f>IF($A12="",0,COUNTIF('Sprint W3'!$B$12:$B$16,$A12)*5+COUNTIF('Sprint W3'!$C$12:$C$16,$A12)*4+COUNTIF('Sprint W3'!$D$12:$D$16,$A12)*3+COUNTIF('Sprint W3'!$E$12:$E$16,$A12)*2+COUNTIF('Sprint W3'!$F$12:$F$16,$A12)*1)</f>
        <v>1</v>
      </c>
      <c r="F12" s="15">
        <f>IF($A12="",0,COUNTIF('Sprint W4'!$B$12:$B$16,$A12)*5+COUNTIF('Sprint W4'!$C$12:$C$16,$A12)*4+COUNTIF('Sprint W4'!$D$12:$D$16,$A12)*3+COUNTIF('Sprint W4'!$E$12:$E$16,$A12)*2+COUNTIF('Sprint W4'!$F$12:$F$16,$A12)*1)</f>
        <v>0</v>
      </c>
      <c r="G12" s="15">
        <f>IF($A12="",0,COUNTIF('Sprint W5'!$B$12:$B$16,$A12)*5+COUNTIF('Sprint W5'!$C$12:$C$16,$A12)*4+COUNTIF('Sprint W5'!$D$12:$D$16,$A12)*3+COUNTIF('Sprint W5'!$E$12:$E$16,$A12)*2+COUNTIF('Sprint W5'!$F$12:$F$16,$A12)*1)</f>
        <v>0</v>
      </c>
      <c r="H12" s="25">
        <f t="shared" si="0"/>
        <v>1</v>
      </c>
      <c r="I12" s="26">
        <f t="shared" si="1"/>
        <v>8</v>
      </c>
      <c r="AA12">
        <f>'Sprint W1'!C14</f>
        <v>0</v>
      </c>
      <c r="AB12">
        <f>IF(AA12="",0,IF(COUNTIF($AA$1:AA12,AA12)=1,1,0))</f>
        <v>0</v>
      </c>
      <c r="AC12" t="str">
        <f>IF(AB12=1,COUNTIF($AB$1:AB12,1),"")</f>
        <v/>
      </c>
    </row>
    <row r="13" spans="1:29" x14ac:dyDescent="0.25">
      <c r="A13" s="13">
        <f>IFERROR(INDEX($AA$1:$AA$125,MATCH(1,$AC$1:$AC$125,0)),"")</f>
        <v>0</v>
      </c>
      <c r="B13" s="33"/>
      <c r="C13" s="15">
        <f>IF($A13="",0,COUNTIF('Sprint W1'!$B$12:$B$16,$A13)*5+COUNTIF('Sprint W1'!$C$12:$C$16,$A13)*4+COUNTIF('Sprint W1'!$D$12:$D$16,$A13)*3+COUNTIF('Sprint W1'!$E$12:$E$16,$A13)*2+COUNTIF('Sprint W1'!$F$12:$F$16,$A13)*1)</f>
        <v>0</v>
      </c>
      <c r="D13" s="15">
        <f>IF($A13="",0,COUNTIF('Sprint W2'!$B$12:$B$16,$A13)*5+COUNTIF('Sprint W2'!$C$12:$C$16,$A13)*4+COUNTIF('Sprint W2'!$D$12:$D$16,$A13)*3+COUNTIF('Sprint W2'!$E$12:$E$16,$A13)*2+COUNTIF('Sprint W2'!$F$12:$F$16,$A13)*1)</f>
        <v>0</v>
      </c>
      <c r="E13" s="15">
        <f>IF($A13="",0,COUNTIF('Sprint W3'!$B$12:$B$16,$A13)*5+COUNTIF('Sprint W3'!$C$12:$C$16,$A13)*4+COUNTIF('Sprint W3'!$D$12:$D$16,$A13)*3+COUNTIF('Sprint W3'!$E$12:$E$16,$A13)*2+COUNTIF('Sprint W3'!$F$12:$F$16,$A13)*1)</f>
        <v>0</v>
      </c>
      <c r="F13" s="15">
        <f>IF($A13="",0,COUNTIF('Sprint W4'!$B$12:$B$16,$A13)*5+COUNTIF('Sprint W4'!$C$12:$C$16,$A13)*4+COUNTIF('Sprint W4'!$D$12:$D$16,$A13)*3+COUNTIF('Sprint W4'!$E$12:$E$16,$A13)*2+COUNTIF('Sprint W4'!$F$12:$F$16,$A13)*1)</f>
        <v>0</v>
      </c>
      <c r="G13" s="15">
        <f>IF($A13="",0,COUNTIF('Sprint W5'!$B$12:$B$16,$A13)*5+COUNTIF('Sprint W5'!$C$12:$C$16,$A13)*4+COUNTIF('Sprint W5'!$D$12:$D$16,$A13)*3+COUNTIF('Sprint W5'!$E$12:$E$16,$A13)*2+COUNTIF('Sprint W5'!$F$12:$F$16,$A13)*1)</f>
        <v>0</v>
      </c>
      <c r="H13" s="25">
        <f t="shared" si="0"/>
        <v>0</v>
      </c>
      <c r="I13" s="26" t="str">
        <f t="shared" si="1"/>
        <v/>
      </c>
      <c r="AA13">
        <f>'Sprint W1'!D14</f>
        <v>0</v>
      </c>
      <c r="AB13">
        <f>IF(AA13="",0,IF(COUNTIF($AA$1:AA13,AA13)=1,1,0))</f>
        <v>0</v>
      </c>
      <c r="AC13" t="str">
        <f>IF(AB13=1,COUNTIF($AB$1:AB13,1),"")</f>
        <v/>
      </c>
    </row>
    <row r="14" spans="1:29" x14ac:dyDescent="0.25">
      <c r="A14" s="13" t="str">
        <f>IFERROR(INDEX($AA$1:$AA$125,MATCH(11,$AC$1:$AC$125,0)),"")</f>
        <v/>
      </c>
      <c r="B14" s="33"/>
      <c r="C14" s="15">
        <f>IF($A14="",0,COUNTIF('Sprint W1'!$B$12:$B$16,$A14)*5+COUNTIF('Sprint W1'!$C$12:$C$16,$A14)*4+COUNTIF('Sprint W1'!$D$12:$D$16,$A14)*3+COUNTIF('Sprint W1'!$E$12:$E$16,$A14)*2+COUNTIF('Sprint W1'!$F$12:$F$16,$A14)*1)</f>
        <v>0</v>
      </c>
      <c r="D14" s="15">
        <f>IF($A14="",0,COUNTIF('Sprint W2'!$B$12:$B$16,$A14)*5+COUNTIF('Sprint W2'!$C$12:$C$16,$A14)*4+COUNTIF('Sprint W2'!$D$12:$D$16,$A14)*3+COUNTIF('Sprint W2'!$E$12:$E$16,$A14)*2+COUNTIF('Sprint W2'!$F$12:$F$16,$A14)*1)</f>
        <v>0</v>
      </c>
      <c r="E14" s="15">
        <f>IF($A14="",0,COUNTIF('Sprint W3'!$B$12:$B$16,$A14)*5+COUNTIF('Sprint W3'!$C$12:$C$16,$A14)*4+COUNTIF('Sprint W3'!$D$12:$D$16,$A14)*3+COUNTIF('Sprint W3'!$E$12:$E$16,$A14)*2+COUNTIF('Sprint W3'!$F$12:$F$16,$A14)*1)</f>
        <v>0</v>
      </c>
      <c r="F14" s="15">
        <f>IF($A14="",0,COUNTIF('Sprint W4'!$B$12:$B$16,$A14)*5+COUNTIF('Sprint W4'!$C$12:$C$16,$A14)*4+COUNTIF('Sprint W4'!$D$12:$D$16,$A14)*3+COUNTIF('Sprint W4'!$E$12:$E$16,$A14)*2+COUNTIF('Sprint W4'!$F$12:$F$16,$A14)*1)</f>
        <v>0</v>
      </c>
      <c r="G14" s="15">
        <f>IF($A14="",0,COUNTIF('Sprint W5'!$B$12:$B$16,$A14)*5+COUNTIF('Sprint W5'!$C$12:$C$16,$A14)*4+COUNTIF('Sprint W5'!$D$12:$D$16,$A14)*3+COUNTIF('Sprint W5'!$E$12:$E$16,$A14)*2+COUNTIF('Sprint W5'!$F$12:$F$16,$A14)*1)</f>
        <v>0</v>
      </c>
      <c r="H14" s="25" t="str">
        <f t="shared" si="0"/>
        <v/>
      </c>
      <c r="I14" s="26" t="str">
        <f t="shared" si="1"/>
        <v/>
      </c>
      <c r="AA14">
        <f>'Sprint W1'!E14</f>
        <v>0</v>
      </c>
      <c r="AB14">
        <f>IF(AA14="",0,IF(COUNTIF($AA$1:AA14,AA14)=1,1,0))</f>
        <v>0</v>
      </c>
      <c r="AC14" t="str">
        <f>IF(AB14=1,COUNTIF($AB$1:AB14,1),"")</f>
        <v/>
      </c>
    </row>
    <row r="15" spans="1:29" x14ac:dyDescent="0.25">
      <c r="A15" s="13" t="str">
        <f>IFERROR(INDEX($AA$1:$AA$125,MATCH(12,$AC$1:$AC$125,0)),"")</f>
        <v/>
      </c>
      <c r="B15" s="33"/>
      <c r="C15" s="15">
        <f>IF($A15="",0,COUNTIF('Sprint W1'!$B$12:$B$16,$A15)*5+COUNTIF('Sprint W1'!$C$12:$C$16,$A15)*4+COUNTIF('Sprint W1'!$D$12:$D$16,$A15)*3+COUNTIF('Sprint W1'!$E$12:$E$16,$A15)*2+COUNTIF('Sprint W1'!$F$12:$F$16,$A15)*1)</f>
        <v>0</v>
      </c>
      <c r="D15" s="15">
        <f>IF($A15="",0,COUNTIF('Sprint W2'!$B$12:$B$16,$A15)*5+COUNTIF('Sprint W2'!$C$12:$C$16,$A15)*4+COUNTIF('Sprint W2'!$D$12:$D$16,$A15)*3+COUNTIF('Sprint W2'!$E$12:$E$16,$A15)*2+COUNTIF('Sprint W2'!$F$12:$F$16,$A15)*1)</f>
        <v>0</v>
      </c>
      <c r="E15" s="15">
        <f>IF($A15="",0,COUNTIF('Sprint W3'!$B$12:$B$16,$A15)*5+COUNTIF('Sprint W3'!$C$12:$C$16,$A15)*4+COUNTIF('Sprint W3'!$D$12:$D$16,$A15)*3+COUNTIF('Sprint W3'!$E$12:$E$16,$A15)*2+COUNTIF('Sprint W3'!$F$12:$F$16,$A15)*1)</f>
        <v>0</v>
      </c>
      <c r="F15" s="15">
        <f>IF($A15="",0,COUNTIF('Sprint W4'!$B$12:$B$16,$A15)*5+COUNTIF('Sprint W4'!$C$12:$C$16,$A15)*4+COUNTIF('Sprint W4'!$D$12:$D$16,$A15)*3+COUNTIF('Sprint W4'!$E$12:$E$16,$A15)*2+COUNTIF('Sprint W4'!$F$12:$F$16,$A15)*1)</f>
        <v>0</v>
      </c>
      <c r="G15" s="15">
        <f>IF($A15="",0,COUNTIF('Sprint W5'!$B$12:$B$16,$A15)*5+COUNTIF('Sprint W5'!$C$12:$C$16,$A15)*4+COUNTIF('Sprint W5'!$D$12:$D$16,$A15)*3+COUNTIF('Sprint W5'!$E$12:$E$16,$A15)*2+COUNTIF('Sprint W5'!$F$12:$F$16,$A15)*1)</f>
        <v>0</v>
      </c>
      <c r="H15" s="25" t="str">
        <f t="shared" si="0"/>
        <v/>
      </c>
      <c r="I15" s="26" t="str">
        <f t="shared" si="1"/>
        <v/>
      </c>
      <c r="AA15">
        <f>'Sprint W1'!F14</f>
        <v>0</v>
      </c>
      <c r="AB15">
        <f>IF(AA15="",0,IF(COUNTIF($AA$1:AA15,AA15)=1,1,0))</f>
        <v>0</v>
      </c>
      <c r="AC15" t="str">
        <f>IF(AB15=1,COUNTIF($AB$1:AB15,1),"")</f>
        <v/>
      </c>
    </row>
    <row r="16" spans="1:29" x14ac:dyDescent="0.25">
      <c r="A16" s="13" t="str">
        <f>IFERROR(INDEX($AA$1:$AA$125,MATCH(13,$AC$1:$AC$125,0)),"")</f>
        <v/>
      </c>
      <c r="B16" s="33"/>
      <c r="C16" s="15">
        <f>IF($A16="",0,COUNTIF('Sprint W1'!$B$12:$B$16,$A16)*5+COUNTIF('Sprint W1'!$C$12:$C$16,$A16)*4+COUNTIF('Sprint W1'!$D$12:$D$16,$A16)*3+COUNTIF('Sprint W1'!$E$12:$E$16,$A16)*2+COUNTIF('Sprint W1'!$F$12:$F$16,$A16)*1)</f>
        <v>0</v>
      </c>
      <c r="D16" s="15">
        <f>IF($A16="",0,COUNTIF('Sprint W2'!$B$12:$B$16,$A16)*5+COUNTIF('Sprint W2'!$C$12:$C$16,$A16)*4+COUNTIF('Sprint W2'!$D$12:$D$16,$A16)*3+COUNTIF('Sprint W2'!$E$12:$E$16,$A16)*2+COUNTIF('Sprint W2'!$F$12:$F$16,$A16)*1)</f>
        <v>0</v>
      </c>
      <c r="E16" s="15">
        <f>IF($A16="",0,COUNTIF('Sprint W3'!$B$12:$B$16,$A16)*5+COUNTIF('Sprint W3'!$C$12:$C$16,$A16)*4+COUNTIF('Sprint W3'!$D$12:$D$16,$A16)*3+COUNTIF('Sprint W3'!$E$12:$E$16,$A16)*2+COUNTIF('Sprint W3'!$F$12:$F$16,$A16)*1)</f>
        <v>0</v>
      </c>
      <c r="F16" s="15">
        <f>IF($A16="",0,COUNTIF('Sprint W4'!$B$12:$B$16,$A16)*5+COUNTIF('Sprint W4'!$C$12:$C$16,$A16)*4+COUNTIF('Sprint W4'!$D$12:$D$16,$A16)*3+COUNTIF('Sprint W4'!$E$12:$E$16,$A16)*2+COUNTIF('Sprint W4'!$F$12:$F$16,$A16)*1)</f>
        <v>0</v>
      </c>
      <c r="G16" s="15">
        <f>IF($A16="",0,COUNTIF('Sprint W5'!$B$12:$B$16,$A16)*5+COUNTIF('Sprint W5'!$C$12:$C$16,$A16)*4+COUNTIF('Sprint W5'!$D$12:$D$16,$A16)*3+COUNTIF('Sprint W5'!$E$12:$E$16,$A16)*2+COUNTIF('Sprint W5'!$F$12:$F$16,$A16)*1)</f>
        <v>0</v>
      </c>
      <c r="H16" s="25" t="str">
        <f t="shared" si="0"/>
        <v/>
      </c>
      <c r="I16" s="26" t="str">
        <f t="shared" si="1"/>
        <v/>
      </c>
      <c r="AA16">
        <f>'Sprint W1'!B15</f>
        <v>0</v>
      </c>
      <c r="AB16">
        <f>IF(AA16="",0,IF(COUNTIF($AA$1:AA16,AA16)=1,1,0))</f>
        <v>0</v>
      </c>
      <c r="AC16" t="str">
        <f>IF(AB16=1,COUNTIF($AB$1:AB16,1),"")</f>
        <v/>
      </c>
    </row>
    <row r="17" spans="1:29" x14ac:dyDescent="0.25">
      <c r="A17" s="13" t="str">
        <f>IFERROR(INDEX($AA$1:$AA$125,MATCH(14,$AC$1:$AC$125,0)),"")</f>
        <v/>
      </c>
      <c r="B17" s="33"/>
      <c r="C17" s="15">
        <f>IF($A17="",0,COUNTIF('Sprint W1'!$B$12:$B$16,$A17)*5+COUNTIF('Sprint W1'!$C$12:$C$16,$A17)*4+COUNTIF('Sprint W1'!$D$12:$D$16,$A17)*3+COUNTIF('Sprint W1'!$E$12:$E$16,$A17)*2+COUNTIF('Sprint W1'!$F$12:$F$16,$A17)*1)</f>
        <v>0</v>
      </c>
      <c r="D17" s="15">
        <f>IF($A17="",0,COUNTIF('Sprint W2'!$B$12:$B$16,$A17)*5+COUNTIF('Sprint W2'!$C$12:$C$16,$A17)*4+COUNTIF('Sprint W2'!$D$12:$D$16,$A17)*3+COUNTIF('Sprint W2'!$E$12:$E$16,$A17)*2+COUNTIF('Sprint W2'!$F$12:$F$16,$A17)*1)</f>
        <v>0</v>
      </c>
      <c r="E17" s="15">
        <f>IF($A17="",0,COUNTIF('Sprint W3'!$B$12:$B$16,$A17)*5+COUNTIF('Sprint W3'!$C$12:$C$16,$A17)*4+COUNTIF('Sprint W3'!$D$12:$D$16,$A17)*3+COUNTIF('Sprint W3'!$E$12:$E$16,$A17)*2+COUNTIF('Sprint W3'!$F$12:$F$16,$A17)*1)</f>
        <v>0</v>
      </c>
      <c r="F17" s="15">
        <f>IF($A17="",0,COUNTIF('Sprint W4'!$B$12:$B$16,$A17)*5+COUNTIF('Sprint W4'!$C$12:$C$16,$A17)*4+COUNTIF('Sprint W4'!$D$12:$D$16,$A17)*3+COUNTIF('Sprint W4'!$E$12:$E$16,$A17)*2+COUNTIF('Sprint W4'!$F$12:$F$16,$A17)*1)</f>
        <v>0</v>
      </c>
      <c r="G17" s="15">
        <f>IF($A17="",0,COUNTIF('Sprint W5'!$B$12:$B$16,$A17)*5+COUNTIF('Sprint W5'!$C$12:$C$16,$A17)*4+COUNTIF('Sprint W5'!$D$12:$D$16,$A17)*3+COUNTIF('Sprint W5'!$E$12:$E$16,$A17)*2+COUNTIF('Sprint W5'!$F$12:$F$16,$A17)*1)</f>
        <v>0</v>
      </c>
      <c r="H17" s="25" t="str">
        <f t="shared" si="0"/>
        <v/>
      </c>
      <c r="I17" s="26" t="str">
        <f t="shared" si="1"/>
        <v/>
      </c>
      <c r="AA17">
        <f>'Sprint W1'!C15</f>
        <v>0</v>
      </c>
      <c r="AB17">
        <f>IF(AA17="",0,IF(COUNTIF($AA$1:AA17,AA17)=1,1,0))</f>
        <v>0</v>
      </c>
      <c r="AC17" t="str">
        <f>IF(AB17=1,COUNTIF($AB$1:AB17,1),"")</f>
        <v/>
      </c>
    </row>
    <row r="18" spans="1:29" x14ac:dyDescent="0.25">
      <c r="A18" s="13" t="str">
        <f>IFERROR(INDEX($AA$1:$AA$125,MATCH(15,$AC$1:$AC$125,0)),"")</f>
        <v/>
      </c>
      <c r="B18" s="33"/>
      <c r="C18" s="15">
        <f>IF($A18="",0,COUNTIF('Sprint W1'!$B$12:$B$16,$A18)*5+COUNTIF('Sprint W1'!$C$12:$C$16,$A18)*4+COUNTIF('Sprint W1'!$D$12:$D$16,$A18)*3+COUNTIF('Sprint W1'!$E$12:$E$16,$A18)*2+COUNTIF('Sprint W1'!$F$12:$F$16,$A18)*1)</f>
        <v>0</v>
      </c>
      <c r="D18" s="15">
        <f>IF($A18="",0,COUNTIF('Sprint W2'!$B$12:$B$16,$A18)*5+COUNTIF('Sprint W2'!$C$12:$C$16,$A18)*4+COUNTIF('Sprint W2'!$D$12:$D$16,$A18)*3+COUNTIF('Sprint W2'!$E$12:$E$16,$A18)*2+COUNTIF('Sprint W2'!$F$12:$F$16,$A18)*1)</f>
        <v>0</v>
      </c>
      <c r="E18" s="15">
        <f>IF($A18="",0,COUNTIF('Sprint W3'!$B$12:$B$16,$A18)*5+COUNTIF('Sprint W3'!$C$12:$C$16,$A18)*4+COUNTIF('Sprint W3'!$D$12:$D$16,$A18)*3+COUNTIF('Sprint W3'!$E$12:$E$16,$A18)*2+COUNTIF('Sprint W3'!$F$12:$F$16,$A18)*1)</f>
        <v>0</v>
      </c>
      <c r="F18" s="15">
        <f>IF($A18="",0,COUNTIF('Sprint W4'!$B$12:$B$16,$A18)*5+COUNTIF('Sprint W4'!$C$12:$C$16,$A18)*4+COUNTIF('Sprint W4'!$D$12:$D$16,$A18)*3+COUNTIF('Sprint W4'!$E$12:$E$16,$A18)*2+COUNTIF('Sprint W4'!$F$12:$F$16,$A18)*1)</f>
        <v>0</v>
      </c>
      <c r="G18" s="15">
        <f>IF($A18="",0,COUNTIF('Sprint W5'!$B$12:$B$16,$A18)*5+COUNTIF('Sprint W5'!$C$12:$C$16,$A18)*4+COUNTIF('Sprint W5'!$D$12:$D$16,$A18)*3+COUNTIF('Sprint W5'!$E$12:$E$16,$A18)*2+COUNTIF('Sprint W5'!$F$12:$F$16,$A18)*1)</f>
        <v>0</v>
      </c>
      <c r="H18" s="25" t="str">
        <f t="shared" si="0"/>
        <v/>
      </c>
      <c r="I18" s="26" t="str">
        <f t="shared" si="1"/>
        <v/>
      </c>
      <c r="AA18">
        <f>'Sprint W1'!D15</f>
        <v>0</v>
      </c>
      <c r="AB18">
        <f>IF(AA18="",0,IF(COUNTIF($AA$1:AA18,AA18)=1,1,0))</f>
        <v>0</v>
      </c>
      <c r="AC18" t="str">
        <f>IF(AB18=1,COUNTIF($AB$1:AB18,1),"")</f>
        <v/>
      </c>
    </row>
    <row r="19" spans="1:29" x14ac:dyDescent="0.25">
      <c r="A19" s="13" t="str">
        <f>IFERROR(INDEX($AA$1:$AA$125,MATCH(16,$AC$1:$AC$125,0)),"")</f>
        <v/>
      </c>
      <c r="B19" s="33"/>
      <c r="C19" s="15">
        <f>IF($A19="",0,COUNTIF('Sprint W1'!$B$12:$B$16,$A19)*5+COUNTIF('Sprint W1'!$C$12:$C$16,$A19)*4+COUNTIF('Sprint W1'!$D$12:$D$16,$A19)*3+COUNTIF('Sprint W1'!$E$12:$E$16,$A19)*2+COUNTIF('Sprint W1'!$F$12:$F$16,$A19)*1)</f>
        <v>0</v>
      </c>
      <c r="D19" s="15">
        <f>IF($A19="",0,COUNTIF('Sprint W2'!$B$12:$B$16,$A19)*5+COUNTIF('Sprint W2'!$C$12:$C$16,$A19)*4+COUNTIF('Sprint W2'!$D$12:$D$16,$A19)*3+COUNTIF('Sprint W2'!$E$12:$E$16,$A19)*2+COUNTIF('Sprint W2'!$F$12:$F$16,$A19)*1)</f>
        <v>0</v>
      </c>
      <c r="E19" s="15">
        <f>IF($A19="",0,COUNTIF('Sprint W3'!$B$12:$B$16,$A19)*5+COUNTIF('Sprint W3'!$C$12:$C$16,$A19)*4+COUNTIF('Sprint W3'!$D$12:$D$16,$A19)*3+COUNTIF('Sprint W3'!$E$12:$E$16,$A19)*2+COUNTIF('Sprint W3'!$F$12:$F$16,$A19)*1)</f>
        <v>0</v>
      </c>
      <c r="F19" s="15">
        <f>IF($A19="",0,COUNTIF('Sprint W4'!$B$12:$B$16,$A19)*5+COUNTIF('Sprint W4'!$C$12:$C$16,$A19)*4+COUNTIF('Sprint W4'!$D$12:$D$16,$A19)*3+COUNTIF('Sprint W4'!$E$12:$E$16,$A19)*2+COUNTIF('Sprint W4'!$F$12:$F$16,$A19)*1)</f>
        <v>0</v>
      </c>
      <c r="G19" s="15">
        <f>IF($A19="",0,COUNTIF('Sprint W5'!$B$12:$B$16,$A19)*5+COUNTIF('Sprint W5'!$C$12:$C$16,$A19)*4+COUNTIF('Sprint W5'!$D$12:$D$16,$A19)*3+COUNTIF('Sprint W5'!$E$12:$E$16,$A19)*2+COUNTIF('Sprint W5'!$F$12:$F$16,$A19)*1)</f>
        <v>0</v>
      </c>
      <c r="H19" s="25" t="str">
        <f t="shared" si="0"/>
        <v/>
      </c>
      <c r="I19" s="26" t="str">
        <f t="shared" si="1"/>
        <v/>
      </c>
      <c r="AA19">
        <f>'Sprint W1'!E15</f>
        <v>0</v>
      </c>
      <c r="AB19">
        <f>IF(AA19="",0,IF(COUNTIF($AA$1:AA19,AA19)=1,1,0))</f>
        <v>0</v>
      </c>
      <c r="AC19" t="str">
        <f>IF(AB19=1,COUNTIF($AB$1:AB19,1),"")</f>
        <v/>
      </c>
    </row>
    <row r="20" spans="1:29" x14ac:dyDescent="0.25">
      <c r="A20" s="13" t="str">
        <f>IFERROR(INDEX($AA$1:$AA$125,MATCH(17,$AC$1:$AC$125,0)),"")</f>
        <v/>
      </c>
      <c r="B20" s="33"/>
      <c r="C20" s="15">
        <f>IF($A20="",0,COUNTIF('Sprint W1'!$B$12:$B$16,$A20)*5+COUNTIF('Sprint W1'!$C$12:$C$16,$A20)*4+COUNTIF('Sprint W1'!$D$12:$D$16,$A20)*3+COUNTIF('Sprint W1'!$E$12:$E$16,$A20)*2+COUNTIF('Sprint W1'!$F$12:$F$16,$A20)*1)</f>
        <v>0</v>
      </c>
      <c r="D20" s="15">
        <f>IF($A20="",0,COUNTIF('Sprint W2'!$B$12:$B$16,$A20)*5+COUNTIF('Sprint W2'!$C$12:$C$16,$A20)*4+COUNTIF('Sprint W2'!$D$12:$D$16,$A20)*3+COUNTIF('Sprint W2'!$E$12:$E$16,$A20)*2+COUNTIF('Sprint W2'!$F$12:$F$16,$A20)*1)</f>
        <v>0</v>
      </c>
      <c r="E20" s="15">
        <f>IF($A20="",0,COUNTIF('Sprint W3'!$B$12:$B$16,$A20)*5+COUNTIF('Sprint W3'!$C$12:$C$16,$A20)*4+COUNTIF('Sprint W3'!$D$12:$D$16,$A20)*3+COUNTIF('Sprint W3'!$E$12:$E$16,$A20)*2+COUNTIF('Sprint W3'!$F$12:$F$16,$A20)*1)</f>
        <v>0</v>
      </c>
      <c r="F20" s="15">
        <f>IF($A20="",0,COUNTIF('Sprint W4'!$B$12:$B$16,$A20)*5+COUNTIF('Sprint W4'!$C$12:$C$16,$A20)*4+COUNTIF('Sprint W4'!$D$12:$D$16,$A20)*3+COUNTIF('Sprint W4'!$E$12:$E$16,$A20)*2+COUNTIF('Sprint W4'!$F$12:$F$16,$A20)*1)</f>
        <v>0</v>
      </c>
      <c r="G20" s="15">
        <f>IF($A20="",0,COUNTIF('Sprint W5'!$B$12:$B$16,$A20)*5+COUNTIF('Sprint W5'!$C$12:$C$16,$A20)*4+COUNTIF('Sprint W5'!$D$12:$D$16,$A20)*3+COUNTIF('Sprint W5'!$E$12:$E$16,$A20)*2+COUNTIF('Sprint W5'!$F$12:$F$16,$A20)*1)</f>
        <v>0</v>
      </c>
      <c r="H20" s="25" t="str">
        <f t="shared" si="0"/>
        <v/>
      </c>
      <c r="I20" s="26" t="str">
        <f t="shared" si="1"/>
        <v/>
      </c>
      <c r="AA20">
        <f>'Sprint W1'!F15</f>
        <v>0</v>
      </c>
      <c r="AB20">
        <f>IF(AA20="",0,IF(COUNTIF($AA$1:AA20,AA20)=1,1,0))</f>
        <v>0</v>
      </c>
      <c r="AC20" t="str">
        <f>IF(AB20=1,COUNTIF($AB$1:AB20,1),"")</f>
        <v/>
      </c>
    </row>
    <row r="21" spans="1:29" x14ac:dyDescent="0.25">
      <c r="A21" s="13" t="str">
        <f>IFERROR(INDEX($AA$1:$AA$125,MATCH(18,$AC$1:$AC$125,0)),"")</f>
        <v/>
      </c>
      <c r="B21" s="33"/>
      <c r="C21" s="15">
        <f>IF($A21="",0,COUNTIF('Sprint W1'!$B$12:$B$16,$A21)*5+COUNTIF('Sprint W1'!$C$12:$C$16,$A21)*4+COUNTIF('Sprint W1'!$D$12:$D$16,$A21)*3+COUNTIF('Sprint W1'!$E$12:$E$16,$A21)*2+COUNTIF('Sprint W1'!$F$12:$F$16,$A21)*1)</f>
        <v>0</v>
      </c>
      <c r="D21" s="15">
        <f>IF($A21="",0,COUNTIF('Sprint W2'!$B$12:$B$16,$A21)*5+COUNTIF('Sprint W2'!$C$12:$C$16,$A21)*4+COUNTIF('Sprint W2'!$D$12:$D$16,$A21)*3+COUNTIF('Sprint W2'!$E$12:$E$16,$A21)*2+COUNTIF('Sprint W2'!$F$12:$F$16,$A21)*1)</f>
        <v>0</v>
      </c>
      <c r="E21" s="15">
        <f>IF($A21="",0,COUNTIF('Sprint W3'!$B$12:$B$16,$A21)*5+COUNTIF('Sprint W3'!$C$12:$C$16,$A21)*4+COUNTIF('Sprint W3'!$D$12:$D$16,$A21)*3+COUNTIF('Sprint W3'!$E$12:$E$16,$A21)*2+COUNTIF('Sprint W3'!$F$12:$F$16,$A21)*1)</f>
        <v>0</v>
      </c>
      <c r="F21" s="15">
        <f>IF($A21="",0,COUNTIF('Sprint W4'!$B$12:$B$16,$A21)*5+COUNTIF('Sprint W4'!$C$12:$C$16,$A21)*4+COUNTIF('Sprint W4'!$D$12:$D$16,$A21)*3+COUNTIF('Sprint W4'!$E$12:$E$16,$A21)*2+COUNTIF('Sprint W4'!$F$12:$F$16,$A21)*1)</f>
        <v>0</v>
      </c>
      <c r="G21" s="15">
        <f>IF($A21="",0,COUNTIF('Sprint W5'!$B$12:$B$16,$A21)*5+COUNTIF('Sprint W5'!$C$12:$C$16,$A21)*4+COUNTIF('Sprint W5'!$D$12:$D$16,$A21)*3+COUNTIF('Sprint W5'!$E$12:$E$16,$A21)*2+COUNTIF('Sprint W5'!$F$12:$F$16,$A21)*1)</f>
        <v>0</v>
      </c>
      <c r="H21" s="25" t="str">
        <f t="shared" si="0"/>
        <v/>
      </c>
      <c r="I21" s="26" t="str">
        <f t="shared" si="1"/>
        <v/>
      </c>
      <c r="AA21">
        <f>'Sprint W1'!B16</f>
        <v>0</v>
      </c>
      <c r="AB21">
        <f>IF(AA21="",0,IF(COUNTIF($AA$1:AA21,AA21)=1,1,0))</f>
        <v>0</v>
      </c>
      <c r="AC21" t="str">
        <f>IF(AB21=1,COUNTIF($AB$1:AB21,1),"")</f>
        <v/>
      </c>
    </row>
    <row r="22" spans="1:29" x14ac:dyDescent="0.25">
      <c r="A22" s="13" t="str">
        <f>IFERROR(INDEX($AA$1:$AA$125,MATCH(19,$AC$1:$AC$125,0)),"")</f>
        <v/>
      </c>
      <c r="B22" s="33"/>
      <c r="C22" s="15">
        <f>IF($A22="",0,COUNTIF('Sprint W1'!$B$12:$B$16,$A22)*5+COUNTIF('Sprint W1'!$C$12:$C$16,$A22)*4+COUNTIF('Sprint W1'!$D$12:$D$16,$A22)*3+COUNTIF('Sprint W1'!$E$12:$E$16,$A22)*2+COUNTIF('Sprint W1'!$F$12:$F$16,$A22)*1)</f>
        <v>0</v>
      </c>
      <c r="D22" s="15">
        <f>IF($A22="",0,COUNTIF('Sprint W2'!$B$12:$B$16,$A22)*5+COUNTIF('Sprint W2'!$C$12:$C$16,$A22)*4+COUNTIF('Sprint W2'!$D$12:$D$16,$A22)*3+COUNTIF('Sprint W2'!$E$12:$E$16,$A22)*2+COUNTIF('Sprint W2'!$F$12:$F$16,$A22)*1)</f>
        <v>0</v>
      </c>
      <c r="E22" s="15">
        <f>IF($A22="",0,COUNTIF('Sprint W3'!$B$12:$B$16,$A22)*5+COUNTIF('Sprint W3'!$C$12:$C$16,$A22)*4+COUNTIF('Sprint W3'!$D$12:$D$16,$A22)*3+COUNTIF('Sprint W3'!$E$12:$E$16,$A22)*2+COUNTIF('Sprint W3'!$F$12:$F$16,$A22)*1)</f>
        <v>0</v>
      </c>
      <c r="F22" s="15">
        <f>IF($A22="",0,COUNTIF('Sprint W4'!$B$12:$B$16,$A22)*5+COUNTIF('Sprint W4'!$C$12:$C$16,$A22)*4+COUNTIF('Sprint W4'!$D$12:$D$16,$A22)*3+COUNTIF('Sprint W4'!$E$12:$E$16,$A22)*2+COUNTIF('Sprint W4'!$F$12:$F$16,$A22)*1)</f>
        <v>0</v>
      </c>
      <c r="G22" s="15">
        <f>IF($A22="",0,COUNTIF('Sprint W5'!$B$12:$B$16,$A22)*5+COUNTIF('Sprint W5'!$C$12:$C$16,$A22)*4+COUNTIF('Sprint W5'!$D$12:$D$16,$A22)*3+COUNTIF('Sprint W5'!$E$12:$E$16,$A22)*2+COUNTIF('Sprint W5'!$F$12:$F$16,$A22)*1)</f>
        <v>0</v>
      </c>
      <c r="H22" s="25" t="str">
        <f t="shared" si="0"/>
        <v/>
      </c>
      <c r="I22" s="26" t="str">
        <f t="shared" si="1"/>
        <v/>
      </c>
      <c r="AA22">
        <f>'Sprint W1'!C16</f>
        <v>0</v>
      </c>
      <c r="AB22">
        <f>IF(AA22="",0,IF(COUNTIF($AA$1:AA22,AA22)=1,1,0))</f>
        <v>0</v>
      </c>
      <c r="AC22" t="str">
        <f>IF(AB22=1,COUNTIF($AB$1:AB22,1),"")</f>
        <v/>
      </c>
    </row>
    <row r="23" spans="1:29" x14ac:dyDescent="0.25">
      <c r="A23" s="13" t="str">
        <f>IFERROR(INDEX($AA$1:$AA$125,MATCH(20,$AC$1:$AC$125,0)),"")</f>
        <v/>
      </c>
      <c r="B23" s="33"/>
      <c r="C23" s="15">
        <f>IF($A23="",0,COUNTIF('Sprint W1'!$B$12:$B$16,$A23)*5+COUNTIF('Sprint W1'!$C$12:$C$16,$A23)*4+COUNTIF('Sprint W1'!$D$12:$D$16,$A23)*3+COUNTIF('Sprint W1'!$E$12:$E$16,$A23)*2+COUNTIF('Sprint W1'!$F$12:$F$16,$A23)*1)</f>
        <v>0</v>
      </c>
      <c r="D23" s="15">
        <f>IF($A23="",0,COUNTIF('Sprint W2'!$B$12:$B$16,$A23)*5+COUNTIF('Sprint W2'!$C$12:$C$16,$A23)*4+COUNTIF('Sprint W2'!$D$12:$D$16,$A23)*3+COUNTIF('Sprint W2'!$E$12:$E$16,$A23)*2+COUNTIF('Sprint W2'!$F$12:$F$16,$A23)*1)</f>
        <v>0</v>
      </c>
      <c r="E23" s="15">
        <f>IF($A23="",0,COUNTIF('Sprint W3'!$B$12:$B$16,$A23)*5+COUNTIF('Sprint W3'!$C$12:$C$16,$A23)*4+COUNTIF('Sprint W3'!$D$12:$D$16,$A23)*3+COUNTIF('Sprint W3'!$E$12:$E$16,$A23)*2+COUNTIF('Sprint W3'!$F$12:$F$16,$A23)*1)</f>
        <v>0</v>
      </c>
      <c r="F23" s="15">
        <f>IF($A23="",0,COUNTIF('Sprint W4'!$B$12:$B$16,$A23)*5+COUNTIF('Sprint W4'!$C$12:$C$16,$A23)*4+COUNTIF('Sprint W4'!$D$12:$D$16,$A23)*3+COUNTIF('Sprint W4'!$E$12:$E$16,$A23)*2+COUNTIF('Sprint W4'!$F$12:$F$16,$A23)*1)</f>
        <v>0</v>
      </c>
      <c r="G23" s="15">
        <f>IF($A23="",0,COUNTIF('Sprint W5'!$B$12:$B$16,$A23)*5+COUNTIF('Sprint W5'!$C$12:$C$16,$A23)*4+COUNTIF('Sprint W5'!$D$12:$D$16,$A23)*3+COUNTIF('Sprint W5'!$E$12:$E$16,$A23)*2+COUNTIF('Sprint W5'!$F$12:$F$16,$A23)*1)</f>
        <v>0</v>
      </c>
      <c r="H23" s="25" t="str">
        <f t="shared" si="0"/>
        <v/>
      </c>
      <c r="I23" s="26" t="str">
        <f t="shared" si="1"/>
        <v/>
      </c>
      <c r="AA23">
        <f>'Sprint W1'!D16</f>
        <v>0</v>
      </c>
      <c r="AB23">
        <f>IF(AA23="",0,IF(COUNTIF($AA$1:AA23,AA23)=1,1,0))</f>
        <v>0</v>
      </c>
      <c r="AC23" t="str">
        <f>IF(AB23=1,COUNTIF($AB$1:AB23,1),"")</f>
        <v/>
      </c>
    </row>
    <row r="24" spans="1:29" x14ac:dyDescent="0.25">
      <c r="A24" s="13" t="str">
        <f>IFERROR(INDEX($AA$1:$AA$125,MATCH(21,$AC$1:$AC$125,0)),"")</f>
        <v/>
      </c>
      <c r="B24" s="33"/>
      <c r="C24" s="15">
        <f>IF($A24="",0,COUNTIF('Sprint W1'!$B$12:$B$16,$A24)*5+COUNTIF('Sprint W1'!$C$12:$C$16,$A24)*4+COUNTIF('Sprint W1'!$D$12:$D$16,$A24)*3+COUNTIF('Sprint W1'!$E$12:$E$16,$A24)*2+COUNTIF('Sprint W1'!$F$12:$F$16,$A24)*1)</f>
        <v>0</v>
      </c>
      <c r="D24" s="15">
        <f>IF($A24="",0,COUNTIF('Sprint W2'!$B$12:$B$16,$A24)*5+COUNTIF('Sprint W2'!$C$12:$C$16,$A24)*4+COUNTIF('Sprint W2'!$D$12:$D$16,$A24)*3+COUNTIF('Sprint W2'!$E$12:$E$16,$A24)*2+COUNTIF('Sprint W2'!$F$12:$F$16,$A24)*1)</f>
        <v>0</v>
      </c>
      <c r="E24" s="15">
        <f>IF($A24="",0,COUNTIF('Sprint W3'!$B$12:$B$16,$A24)*5+COUNTIF('Sprint W3'!$C$12:$C$16,$A24)*4+COUNTIF('Sprint W3'!$D$12:$D$16,$A24)*3+COUNTIF('Sprint W3'!$E$12:$E$16,$A24)*2+COUNTIF('Sprint W3'!$F$12:$F$16,$A24)*1)</f>
        <v>0</v>
      </c>
      <c r="F24" s="15">
        <f>IF($A24="",0,COUNTIF('Sprint W4'!$B$12:$B$16,$A24)*5+COUNTIF('Sprint W4'!$C$12:$C$16,$A24)*4+COUNTIF('Sprint W4'!$D$12:$D$16,$A24)*3+COUNTIF('Sprint W4'!$E$12:$E$16,$A24)*2+COUNTIF('Sprint W4'!$F$12:$F$16,$A24)*1)</f>
        <v>0</v>
      </c>
      <c r="G24" s="15">
        <f>IF($A24="",0,COUNTIF('Sprint W5'!$B$12:$B$16,$A24)*5+COUNTIF('Sprint W5'!$C$12:$C$16,$A24)*4+COUNTIF('Sprint W5'!$D$12:$D$16,$A24)*3+COUNTIF('Sprint W5'!$E$12:$E$16,$A24)*2+COUNTIF('Sprint W5'!$F$12:$F$16,$A24)*1)</f>
        <v>0</v>
      </c>
      <c r="H24" s="25" t="str">
        <f t="shared" si="0"/>
        <v/>
      </c>
      <c r="I24" s="26" t="str">
        <f t="shared" si="1"/>
        <v/>
      </c>
      <c r="AA24">
        <f>'Sprint W1'!E16</f>
        <v>0</v>
      </c>
      <c r="AB24">
        <f>IF(AA24="",0,IF(COUNTIF($AA$1:AA24,AA24)=1,1,0))</f>
        <v>0</v>
      </c>
      <c r="AC24" t="str">
        <f>IF(AB24=1,COUNTIF($AB$1:AB24,1),"")</f>
        <v/>
      </c>
    </row>
    <row r="25" spans="1:29" x14ac:dyDescent="0.25">
      <c r="A25" s="13" t="str">
        <f>IFERROR(INDEX($AA$1:$AA$125,MATCH(22,$AC$1:$AC$125,0)),"")</f>
        <v/>
      </c>
      <c r="B25" s="33"/>
      <c r="C25" s="15">
        <f>IF($A25="",0,COUNTIF('Sprint W1'!$B$12:$B$16,$A25)*5+COUNTIF('Sprint W1'!$C$12:$C$16,$A25)*4+COUNTIF('Sprint W1'!$D$12:$D$16,$A25)*3+COUNTIF('Sprint W1'!$E$12:$E$16,$A25)*2+COUNTIF('Sprint W1'!$F$12:$F$16,$A25)*1)</f>
        <v>0</v>
      </c>
      <c r="D25" s="15">
        <f>IF($A25="",0,COUNTIF('Sprint W2'!$B$12:$B$16,$A25)*5+COUNTIF('Sprint W2'!$C$12:$C$16,$A25)*4+COUNTIF('Sprint W2'!$D$12:$D$16,$A25)*3+COUNTIF('Sprint W2'!$E$12:$E$16,$A25)*2+COUNTIF('Sprint W2'!$F$12:$F$16,$A25)*1)</f>
        <v>0</v>
      </c>
      <c r="E25" s="15">
        <f>IF($A25="",0,COUNTIF('Sprint W3'!$B$12:$B$16,$A25)*5+COUNTIF('Sprint W3'!$C$12:$C$16,$A25)*4+COUNTIF('Sprint W3'!$D$12:$D$16,$A25)*3+COUNTIF('Sprint W3'!$E$12:$E$16,$A25)*2+COUNTIF('Sprint W3'!$F$12:$F$16,$A25)*1)</f>
        <v>0</v>
      </c>
      <c r="F25" s="15">
        <f>IF($A25="",0,COUNTIF('Sprint W4'!$B$12:$B$16,$A25)*5+COUNTIF('Sprint W4'!$C$12:$C$16,$A25)*4+COUNTIF('Sprint W4'!$D$12:$D$16,$A25)*3+COUNTIF('Sprint W4'!$E$12:$E$16,$A25)*2+COUNTIF('Sprint W4'!$F$12:$F$16,$A25)*1)</f>
        <v>0</v>
      </c>
      <c r="G25" s="15">
        <f>IF($A25="",0,COUNTIF('Sprint W5'!$B$12:$B$16,$A25)*5+COUNTIF('Sprint W5'!$C$12:$C$16,$A25)*4+COUNTIF('Sprint W5'!$D$12:$D$16,$A25)*3+COUNTIF('Sprint W5'!$E$12:$E$16,$A25)*2+COUNTIF('Sprint W5'!$F$12:$F$16,$A25)*1)</f>
        <v>0</v>
      </c>
      <c r="H25" s="25" t="str">
        <f t="shared" si="0"/>
        <v/>
      </c>
      <c r="I25" s="26" t="str">
        <f t="shared" si="1"/>
        <v/>
      </c>
      <c r="AA25">
        <f>'Sprint W1'!F16</f>
        <v>0</v>
      </c>
      <c r="AB25">
        <f>IF(AA25="",0,IF(COUNTIF($AA$1:AA25,AA25)=1,1,0))</f>
        <v>0</v>
      </c>
      <c r="AC25" t="str">
        <f>IF(AB25=1,COUNTIF($AB$1:AB25,1),"")</f>
        <v/>
      </c>
    </row>
    <row r="26" spans="1:29" x14ac:dyDescent="0.25">
      <c r="A26" s="13" t="str">
        <f>IFERROR(INDEX($AA$1:$AA$125,MATCH(23,$AC$1:$AC$125,0)),"")</f>
        <v/>
      </c>
      <c r="B26" s="33"/>
      <c r="C26" s="15">
        <f>IF($A26="",0,COUNTIF('Sprint W1'!$B$12:$B$16,$A26)*5+COUNTIF('Sprint W1'!$C$12:$C$16,$A26)*4+COUNTIF('Sprint W1'!$D$12:$D$16,$A26)*3+COUNTIF('Sprint W1'!$E$12:$E$16,$A26)*2+COUNTIF('Sprint W1'!$F$12:$F$16,$A26)*1)</f>
        <v>0</v>
      </c>
      <c r="D26" s="15">
        <f>IF($A26="",0,COUNTIF('Sprint W2'!$B$12:$B$16,$A26)*5+COUNTIF('Sprint W2'!$C$12:$C$16,$A26)*4+COUNTIF('Sprint W2'!$D$12:$D$16,$A26)*3+COUNTIF('Sprint W2'!$E$12:$E$16,$A26)*2+COUNTIF('Sprint W2'!$F$12:$F$16,$A26)*1)</f>
        <v>0</v>
      </c>
      <c r="E26" s="15">
        <f>IF($A26="",0,COUNTIF('Sprint W3'!$B$12:$B$16,$A26)*5+COUNTIF('Sprint W3'!$C$12:$C$16,$A26)*4+COUNTIF('Sprint W3'!$D$12:$D$16,$A26)*3+COUNTIF('Sprint W3'!$E$12:$E$16,$A26)*2+COUNTIF('Sprint W3'!$F$12:$F$16,$A26)*1)</f>
        <v>0</v>
      </c>
      <c r="F26" s="15">
        <f>IF($A26="",0,COUNTIF('Sprint W4'!$B$12:$B$16,$A26)*5+COUNTIF('Sprint W4'!$C$12:$C$16,$A26)*4+COUNTIF('Sprint W4'!$D$12:$D$16,$A26)*3+COUNTIF('Sprint W4'!$E$12:$E$16,$A26)*2+COUNTIF('Sprint W4'!$F$12:$F$16,$A26)*1)</f>
        <v>0</v>
      </c>
      <c r="G26" s="15">
        <f>IF($A26="",0,COUNTIF('Sprint W5'!$B$12:$B$16,$A26)*5+COUNTIF('Sprint W5'!$C$12:$C$16,$A26)*4+COUNTIF('Sprint W5'!$D$12:$D$16,$A26)*3+COUNTIF('Sprint W5'!$E$12:$E$16,$A26)*2+COUNTIF('Sprint W5'!$F$12:$F$16,$A26)*1)</f>
        <v>0</v>
      </c>
      <c r="H26" s="25" t="str">
        <f t="shared" si="0"/>
        <v/>
      </c>
      <c r="I26" s="26" t="str">
        <f t="shared" si="1"/>
        <v/>
      </c>
      <c r="AA26">
        <f>'Sprint W2'!B12</f>
        <v>0</v>
      </c>
      <c r="AB26">
        <f>IF(AA26="",0,IF(COUNTIF($AA$1:AA26,AA26)=1,1,0))</f>
        <v>0</v>
      </c>
      <c r="AC26" t="str">
        <f>IF(AB26=1,COUNTIF($AB$1:AB26,1),"")</f>
        <v/>
      </c>
    </row>
    <row r="27" spans="1:29" x14ac:dyDescent="0.25">
      <c r="A27" s="13" t="str">
        <f>IFERROR(INDEX($AA$1:$AA$125,MATCH(24,$AC$1:$AC$125,0)),"")</f>
        <v/>
      </c>
      <c r="B27" s="33"/>
      <c r="C27" s="15">
        <f>IF($A27="",0,COUNTIF('Sprint W1'!$B$12:$B$16,$A27)*5+COUNTIF('Sprint W1'!$C$12:$C$16,$A27)*4+COUNTIF('Sprint W1'!$D$12:$D$16,$A27)*3+COUNTIF('Sprint W1'!$E$12:$E$16,$A27)*2+COUNTIF('Sprint W1'!$F$12:$F$16,$A27)*1)</f>
        <v>0</v>
      </c>
      <c r="D27" s="15">
        <f>IF($A27="",0,COUNTIF('Sprint W2'!$B$12:$B$16,$A27)*5+COUNTIF('Sprint W2'!$C$12:$C$16,$A27)*4+COUNTIF('Sprint W2'!$D$12:$D$16,$A27)*3+COUNTIF('Sprint W2'!$E$12:$E$16,$A27)*2+COUNTIF('Sprint W2'!$F$12:$F$16,$A27)*1)</f>
        <v>0</v>
      </c>
      <c r="E27" s="15">
        <f>IF($A27="",0,COUNTIF('Sprint W3'!$B$12:$B$16,$A27)*5+COUNTIF('Sprint W3'!$C$12:$C$16,$A27)*4+COUNTIF('Sprint W3'!$D$12:$D$16,$A27)*3+COUNTIF('Sprint W3'!$E$12:$E$16,$A27)*2+COUNTIF('Sprint W3'!$F$12:$F$16,$A27)*1)</f>
        <v>0</v>
      </c>
      <c r="F27" s="15">
        <f>IF($A27="",0,COUNTIF('Sprint W4'!$B$12:$B$16,$A27)*5+COUNTIF('Sprint W4'!$C$12:$C$16,$A27)*4+COUNTIF('Sprint W4'!$D$12:$D$16,$A27)*3+COUNTIF('Sprint W4'!$E$12:$E$16,$A27)*2+COUNTIF('Sprint W4'!$F$12:$F$16,$A27)*1)</f>
        <v>0</v>
      </c>
      <c r="G27" s="15">
        <f>IF($A27="",0,COUNTIF('Sprint W5'!$B$12:$B$16,$A27)*5+COUNTIF('Sprint W5'!$C$12:$C$16,$A27)*4+COUNTIF('Sprint W5'!$D$12:$D$16,$A27)*3+COUNTIF('Sprint W5'!$E$12:$E$16,$A27)*2+COUNTIF('Sprint W5'!$F$12:$F$16,$A27)*1)</f>
        <v>0</v>
      </c>
      <c r="H27" s="25" t="str">
        <f t="shared" si="0"/>
        <v/>
      </c>
      <c r="I27" s="26" t="str">
        <f t="shared" si="1"/>
        <v/>
      </c>
      <c r="AA27">
        <f>'Sprint W2'!C12</f>
        <v>0</v>
      </c>
      <c r="AB27">
        <f>IF(AA27="",0,IF(COUNTIF($AA$1:AA27,AA27)=1,1,0))</f>
        <v>0</v>
      </c>
      <c r="AC27" t="str">
        <f>IF(AB27=1,COUNTIF($AB$1:AB27,1),"")</f>
        <v/>
      </c>
    </row>
    <row r="28" spans="1:29" x14ac:dyDescent="0.25">
      <c r="A28" s="13" t="str">
        <f>IFERROR(INDEX($AA$1:$AA$125,MATCH(25,$AC$1:$AC$125,0)),"")</f>
        <v/>
      </c>
      <c r="B28" s="33"/>
      <c r="C28" s="15">
        <f>IF($A28="",0,COUNTIF('Sprint W1'!$B$12:$B$16,$A28)*5+COUNTIF('Sprint W1'!$C$12:$C$16,$A28)*4+COUNTIF('Sprint W1'!$D$12:$D$16,$A28)*3+COUNTIF('Sprint W1'!$E$12:$E$16,$A28)*2+COUNTIF('Sprint W1'!$F$12:$F$16,$A28)*1)</f>
        <v>0</v>
      </c>
      <c r="D28" s="15">
        <f>IF($A28="",0,COUNTIF('Sprint W2'!$B$12:$B$16,$A28)*5+COUNTIF('Sprint W2'!$C$12:$C$16,$A28)*4+COUNTIF('Sprint W2'!$D$12:$D$16,$A28)*3+COUNTIF('Sprint W2'!$E$12:$E$16,$A28)*2+COUNTIF('Sprint W2'!$F$12:$F$16,$A28)*1)</f>
        <v>0</v>
      </c>
      <c r="E28" s="15">
        <f>IF($A28="",0,COUNTIF('Sprint W3'!$B$12:$B$16,$A28)*5+COUNTIF('Sprint W3'!$C$12:$C$16,$A28)*4+COUNTIF('Sprint W3'!$D$12:$D$16,$A28)*3+COUNTIF('Sprint W3'!$E$12:$E$16,$A28)*2+COUNTIF('Sprint W3'!$F$12:$F$16,$A28)*1)</f>
        <v>0</v>
      </c>
      <c r="F28" s="15">
        <f>IF($A28="",0,COUNTIF('Sprint W4'!$B$12:$B$16,$A28)*5+COUNTIF('Sprint W4'!$C$12:$C$16,$A28)*4+COUNTIF('Sprint W4'!$D$12:$D$16,$A28)*3+COUNTIF('Sprint W4'!$E$12:$E$16,$A28)*2+COUNTIF('Sprint W4'!$F$12:$F$16,$A28)*1)</f>
        <v>0</v>
      </c>
      <c r="G28" s="15">
        <f>IF($A28="",0,COUNTIF('Sprint W5'!$B$12:$B$16,$A28)*5+COUNTIF('Sprint W5'!$C$12:$C$16,$A28)*4+COUNTIF('Sprint W5'!$D$12:$D$16,$A28)*3+COUNTIF('Sprint W5'!$E$12:$E$16,$A28)*2+COUNTIF('Sprint W5'!$F$12:$F$16,$A28)*1)</f>
        <v>0</v>
      </c>
      <c r="H28" s="25" t="str">
        <f t="shared" si="0"/>
        <v/>
      </c>
      <c r="I28" s="26" t="str">
        <f t="shared" si="1"/>
        <v/>
      </c>
      <c r="AA28">
        <f>'Sprint W2'!D12</f>
        <v>0</v>
      </c>
      <c r="AB28">
        <f>IF(AA28="",0,IF(COUNTIF($AA$1:AA28,AA28)=1,1,0))</f>
        <v>0</v>
      </c>
      <c r="AC28" t="str">
        <f>IF(AB28=1,COUNTIF($AB$1:AB28,1),"")</f>
        <v/>
      </c>
    </row>
    <row r="29" spans="1:29" x14ac:dyDescent="0.25">
      <c r="A29" s="13" t="str">
        <f>IFERROR(INDEX($AA$1:$AA$125,MATCH(26,$AC$1:$AC$125,0)),"")</f>
        <v/>
      </c>
      <c r="B29" s="33"/>
      <c r="C29" s="15">
        <f>IF($A29="",0,COUNTIF('Sprint W1'!$B$12:$B$16,$A29)*5+COUNTIF('Sprint W1'!$C$12:$C$16,$A29)*4+COUNTIF('Sprint W1'!$D$12:$D$16,$A29)*3+COUNTIF('Sprint W1'!$E$12:$E$16,$A29)*2+COUNTIF('Sprint W1'!$F$12:$F$16,$A29)*1)</f>
        <v>0</v>
      </c>
      <c r="D29" s="15">
        <f>IF($A29="",0,COUNTIF('Sprint W2'!$B$12:$B$16,$A29)*5+COUNTIF('Sprint W2'!$C$12:$C$16,$A29)*4+COUNTIF('Sprint W2'!$D$12:$D$16,$A29)*3+COUNTIF('Sprint W2'!$E$12:$E$16,$A29)*2+COUNTIF('Sprint W2'!$F$12:$F$16,$A29)*1)</f>
        <v>0</v>
      </c>
      <c r="E29" s="15">
        <f>IF($A29="",0,COUNTIF('Sprint W3'!$B$12:$B$16,$A29)*5+COUNTIF('Sprint W3'!$C$12:$C$16,$A29)*4+COUNTIF('Sprint W3'!$D$12:$D$16,$A29)*3+COUNTIF('Sprint W3'!$E$12:$E$16,$A29)*2+COUNTIF('Sprint W3'!$F$12:$F$16,$A29)*1)</f>
        <v>0</v>
      </c>
      <c r="F29" s="15">
        <f>IF($A29="",0,COUNTIF('Sprint W4'!$B$12:$B$16,$A29)*5+COUNTIF('Sprint W4'!$C$12:$C$16,$A29)*4+COUNTIF('Sprint W4'!$D$12:$D$16,$A29)*3+COUNTIF('Sprint W4'!$E$12:$E$16,$A29)*2+COUNTIF('Sprint W4'!$F$12:$F$16,$A29)*1)</f>
        <v>0</v>
      </c>
      <c r="G29" s="15">
        <f>IF($A29="",0,COUNTIF('Sprint W5'!$B$12:$B$16,$A29)*5+COUNTIF('Sprint W5'!$C$12:$C$16,$A29)*4+COUNTIF('Sprint W5'!$D$12:$D$16,$A29)*3+COUNTIF('Sprint W5'!$E$12:$E$16,$A29)*2+COUNTIF('Sprint W5'!$F$12:$F$16,$A29)*1)</f>
        <v>0</v>
      </c>
      <c r="H29" s="25" t="str">
        <f t="shared" si="0"/>
        <v/>
      </c>
      <c r="I29" s="26" t="str">
        <f t="shared" si="1"/>
        <v/>
      </c>
      <c r="AA29">
        <f>'Sprint W2'!E12</f>
        <v>0</v>
      </c>
      <c r="AB29">
        <f>IF(AA29="",0,IF(COUNTIF($AA$1:AA29,AA29)=1,1,0))</f>
        <v>0</v>
      </c>
      <c r="AC29" t="str">
        <f>IF(AB29=1,COUNTIF($AB$1:AB29,1),"")</f>
        <v/>
      </c>
    </row>
    <row r="30" spans="1:29" x14ac:dyDescent="0.25">
      <c r="A30" s="13" t="str">
        <f>IFERROR(INDEX($AA$1:$AA$125,MATCH(27,$AC$1:$AC$125,0)),"")</f>
        <v/>
      </c>
      <c r="B30" s="33"/>
      <c r="C30" s="15">
        <f>IF($A30="",0,COUNTIF('Sprint W1'!$B$12:$B$16,$A30)*5+COUNTIF('Sprint W1'!$C$12:$C$16,$A30)*4+COUNTIF('Sprint W1'!$D$12:$D$16,$A30)*3+COUNTIF('Sprint W1'!$E$12:$E$16,$A30)*2+COUNTIF('Sprint W1'!$F$12:$F$16,$A30)*1)</f>
        <v>0</v>
      </c>
      <c r="D30" s="15">
        <f>IF($A30="",0,COUNTIF('Sprint W2'!$B$12:$B$16,$A30)*5+COUNTIF('Sprint W2'!$C$12:$C$16,$A30)*4+COUNTIF('Sprint W2'!$D$12:$D$16,$A30)*3+COUNTIF('Sprint W2'!$E$12:$E$16,$A30)*2+COUNTIF('Sprint W2'!$F$12:$F$16,$A30)*1)</f>
        <v>0</v>
      </c>
      <c r="E30" s="15">
        <f>IF($A30="",0,COUNTIF('Sprint W3'!$B$12:$B$16,$A30)*5+COUNTIF('Sprint W3'!$C$12:$C$16,$A30)*4+COUNTIF('Sprint W3'!$D$12:$D$16,$A30)*3+COUNTIF('Sprint W3'!$E$12:$E$16,$A30)*2+COUNTIF('Sprint W3'!$F$12:$F$16,$A30)*1)</f>
        <v>0</v>
      </c>
      <c r="F30" s="15">
        <f>IF($A30="",0,COUNTIF('Sprint W4'!$B$12:$B$16,$A30)*5+COUNTIF('Sprint W4'!$C$12:$C$16,$A30)*4+COUNTIF('Sprint W4'!$D$12:$D$16,$A30)*3+COUNTIF('Sprint W4'!$E$12:$E$16,$A30)*2+COUNTIF('Sprint W4'!$F$12:$F$16,$A30)*1)</f>
        <v>0</v>
      </c>
      <c r="G30" s="15">
        <f>IF($A30="",0,COUNTIF('Sprint W5'!$B$12:$B$16,$A30)*5+COUNTIF('Sprint W5'!$C$12:$C$16,$A30)*4+COUNTIF('Sprint W5'!$D$12:$D$16,$A30)*3+COUNTIF('Sprint W5'!$E$12:$E$16,$A30)*2+COUNTIF('Sprint W5'!$F$12:$F$16,$A30)*1)</f>
        <v>0</v>
      </c>
      <c r="H30" s="25" t="str">
        <f t="shared" si="0"/>
        <v/>
      </c>
      <c r="I30" s="26" t="str">
        <f t="shared" si="1"/>
        <v/>
      </c>
      <c r="AA30">
        <f>'Sprint W2'!F12</f>
        <v>0</v>
      </c>
      <c r="AB30">
        <f>IF(AA30="",0,IF(COUNTIF($AA$1:AA30,AA30)=1,1,0))</f>
        <v>0</v>
      </c>
      <c r="AC30" t="str">
        <f>IF(AB30=1,COUNTIF($AB$1:AB30,1),"")</f>
        <v/>
      </c>
    </row>
    <row r="31" spans="1:29" x14ac:dyDescent="0.25">
      <c r="A31" s="13" t="str">
        <f>IFERROR(INDEX($AA$1:$AA$125,MATCH(28,$AC$1:$AC$125,0)),"")</f>
        <v/>
      </c>
      <c r="B31" s="33"/>
      <c r="C31" s="15">
        <f>IF($A31="",0,COUNTIF('Sprint W1'!$B$12:$B$16,$A31)*5+COUNTIF('Sprint W1'!$C$12:$C$16,$A31)*4+COUNTIF('Sprint W1'!$D$12:$D$16,$A31)*3+COUNTIF('Sprint W1'!$E$12:$E$16,$A31)*2+COUNTIF('Sprint W1'!$F$12:$F$16,$A31)*1)</f>
        <v>0</v>
      </c>
      <c r="D31" s="15">
        <f>IF($A31="",0,COUNTIF('Sprint W2'!$B$12:$B$16,$A31)*5+COUNTIF('Sprint W2'!$C$12:$C$16,$A31)*4+COUNTIF('Sprint W2'!$D$12:$D$16,$A31)*3+COUNTIF('Sprint W2'!$E$12:$E$16,$A31)*2+COUNTIF('Sprint W2'!$F$12:$F$16,$A31)*1)</f>
        <v>0</v>
      </c>
      <c r="E31" s="15">
        <f>IF($A31="",0,COUNTIF('Sprint W3'!$B$12:$B$16,$A31)*5+COUNTIF('Sprint W3'!$C$12:$C$16,$A31)*4+COUNTIF('Sprint W3'!$D$12:$D$16,$A31)*3+COUNTIF('Sprint W3'!$E$12:$E$16,$A31)*2+COUNTIF('Sprint W3'!$F$12:$F$16,$A31)*1)</f>
        <v>0</v>
      </c>
      <c r="F31" s="15">
        <f>IF($A31="",0,COUNTIF('Sprint W4'!$B$12:$B$16,$A31)*5+COUNTIF('Sprint W4'!$C$12:$C$16,$A31)*4+COUNTIF('Sprint W4'!$D$12:$D$16,$A31)*3+COUNTIF('Sprint W4'!$E$12:$E$16,$A31)*2+COUNTIF('Sprint W4'!$F$12:$F$16,$A31)*1)</f>
        <v>0</v>
      </c>
      <c r="G31" s="15">
        <f>IF($A31="",0,COUNTIF('Sprint W5'!$B$12:$B$16,$A31)*5+COUNTIF('Sprint W5'!$C$12:$C$16,$A31)*4+COUNTIF('Sprint W5'!$D$12:$D$16,$A31)*3+COUNTIF('Sprint W5'!$E$12:$E$16,$A31)*2+COUNTIF('Sprint W5'!$F$12:$F$16,$A31)*1)</f>
        <v>0</v>
      </c>
      <c r="H31" s="25" t="str">
        <f t="shared" si="0"/>
        <v/>
      </c>
      <c r="I31" s="26" t="str">
        <f t="shared" si="1"/>
        <v/>
      </c>
      <c r="AA31">
        <f>'Sprint W2'!B13</f>
        <v>0</v>
      </c>
      <c r="AB31">
        <f>IF(AA31="",0,IF(COUNTIF($AA$1:AA31,AA31)=1,1,0))</f>
        <v>0</v>
      </c>
      <c r="AC31" t="str">
        <f>IF(AB31=1,COUNTIF($AB$1:AB31,1),"")</f>
        <v/>
      </c>
    </row>
    <row r="32" spans="1:29" x14ac:dyDescent="0.25">
      <c r="A32" s="13" t="str">
        <f>IFERROR(INDEX($AA$1:$AA$125,MATCH(29,$AC$1:$AC$125,0)),"")</f>
        <v/>
      </c>
      <c r="B32" s="33"/>
      <c r="C32" s="15">
        <f>IF($A32="",0,COUNTIF('Sprint W1'!$B$12:$B$16,$A32)*5+COUNTIF('Sprint W1'!$C$12:$C$16,$A32)*4+COUNTIF('Sprint W1'!$D$12:$D$16,$A32)*3+COUNTIF('Sprint W1'!$E$12:$E$16,$A32)*2+COUNTIF('Sprint W1'!$F$12:$F$16,$A32)*1)</f>
        <v>0</v>
      </c>
      <c r="D32" s="15">
        <f>IF($A32="",0,COUNTIF('Sprint W2'!$B$12:$B$16,$A32)*5+COUNTIF('Sprint W2'!$C$12:$C$16,$A32)*4+COUNTIF('Sprint W2'!$D$12:$D$16,$A32)*3+COUNTIF('Sprint W2'!$E$12:$E$16,$A32)*2+COUNTIF('Sprint W2'!$F$12:$F$16,$A32)*1)</f>
        <v>0</v>
      </c>
      <c r="E32" s="15">
        <f>IF($A32="",0,COUNTIF('Sprint W3'!$B$12:$B$16,$A32)*5+COUNTIF('Sprint W3'!$C$12:$C$16,$A32)*4+COUNTIF('Sprint W3'!$D$12:$D$16,$A32)*3+COUNTIF('Sprint W3'!$E$12:$E$16,$A32)*2+COUNTIF('Sprint W3'!$F$12:$F$16,$A32)*1)</f>
        <v>0</v>
      </c>
      <c r="F32" s="15">
        <f>IF($A32="",0,COUNTIF('Sprint W4'!$B$12:$B$16,$A32)*5+COUNTIF('Sprint W4'!$C$12:$C$16,$A32)*4+COUNTIF('Sprint W4'!$D$12:$D$16,$A32)*3+COUNTIF('Sprint W4'!$E$12:$E$16,$A32)*2+COUNTIF('Sprint W4'!$F$12:$F$16,$A32)*1)</f>
        <v>0</v>
      </c>
      <c r="G32" s="15">
        <f>IF($A32="",0,COUNTIF('Sprint W5'!$B$12:$B$16,$A32)*5+COUNTIF('Sprint W5'!$C$12:$C$16,$A32)*4+COUNTIF('Sprint W5'!$D$12:$D$16,$A32)*3+COUNTIF('Sprint W5'!$E$12:$E$16,$A32)*2+COUNTIF('Sprint W5'!$F$12:$F$16,$A32)*1)</f>
        <v>0</v>
      </c>
      <c r="H32" s="25" t="str">
        <f t="shared" si="0"/>
        <v/>
      </c>
      <c r="I32" s="26" t="str">
        <f t="shared" si="1"/>
        <v/>
      </c>
      <c r="AA32">
        <f>'Sprint W2'!C13</f>
        <v>0</v>
      </c>
      <c r="AB32">
        <f>IF(AA32="",0,IF(COUNTIF($AA$1:AA32,AA32)=1,1,0))</f>
        <v>0</v>
      </c>
      <c r="AC32" t="str">
        <f>IF(AB32=1,COUNTIF($AB$1:AB32,1),"")</f>
        <v/>
      </c>
    </row>
    <row r="33" spans="1:29" x14ac:dyDescent="0.25">
      <c r="A33" s="13" t="str">
        <f>IFERROR(INDEX($AA$1:$AA$125,MATCH(30,$AC$1:$AC$125,0)),"")</f>
        <v/>
      </c>
      <c r="B33" s="33"/>
      <c r="C33" s="15">
        <f>IF($A33="",0,COUNTIF('Sprint W1'!$B$12:$B$16,$A33)*5+COUNTIF('Sprint W1'!$C$12:$C$16,$A33)*4+COUNTIF('Sprint W1'!$D$12:$D$16,$A33)*3+COUNTIF('Sprint W1'!$E$12:$E$16,$A33)*2+COUNTIF('Sprint W1'!$F$12:$F$16,$A33)*1)</f>
        <v>0</v>
      </c>
      <c r="D33" s="15">
        <f>IF($A33="",0,COUNTIF('Sprint W2'!$B$12:$B$16,$A33)*5+COUNTIF('Sprint W2'!$C$12:$C$16,$A33)*4+COUNTIF('Sprint W2'!$D$12:$D$16,$A33)*3+COUNTIF('Sprint W2'!$E$12:$E$16,$A33)*2+COUNTIF('Sprint W2'!$F$12:$F$16,$A33)*1)</f>
        <v>0</v>
      </c>
      <c r="E33" s="15">
        <f>IF($A33="",0,COUNTIF('Sprint W3'!$B$12:$B$16,$A33)*5+COUNTIF('Sprint W3'!$C$12:$C$16,$A33)*4+COUNTIF('Sprint W3'!$D$12:$D$16,$A33)*3+COUNTIF('Sprint W3'!$E$12:$E$16,$A33)*2+COUNTIF('Sprint W3'!$F$12:$F$16,$A33)*1)</f>
        <v>0</v>
      </c>
      <c r="F33" s="15">
        <f>IF($A33="",0,COUNTIF('Sprint W4'!$B$12:$B$16,$A33)*5+COUNTIF('Sprint W4'!$C$12:$C$16,$A33)*4+COUNTIF('Sprint W4'!$D$12:$D$16,$A33)*3+COUNTIF('Sprint W4'!$E$12:$E$16,$A33)*2+COUNTIF('Sprint W4'!$F$12:$F$16,$A33)*1)</f>
        <v>0</v>
      </c>
      <c r="G33" s="15">
        <f>IF($A33="",0,COUNTIF('Sprint W5'!$B$12:$B$16,$A33)*5+COUNTIF('Sprint W5'!$C$12:$C$16,$A33)*4+COUNTIF('Sprint W5'!$D$12:$D$16,$A33)*3+COUNTIF('Sprint W5'!$E$12:$E$16,$A33)*2+COUNTIF('Sprint W5'!$F$12:$F$16,$A33)*1)</f>
        <v>0</v>
      </c>
      <c r="H33" s="25" t="str">
        <f t="shared" si="0"/>
        <v/>
      </c>
      <c r="I33" s="26" t="str">
        <f t="shared" si="1"/>
        <v/>
      </c>
      <c r="AA33">
        <f>'Sprint W2'!D13</f>
        <v>0</v>
      </c>
      <c r="AB33">
        <f>IF(AA33="",0,IF(COUNTIF($AA$1:AA33,AA33)=1,1,0))</f>
        <v>0</v>
      </c>
      <c r="AC33" t="str">
        <f>IF(AB33=1,COUNTIF($AB$1:AB33,1),"")</f>
        <v/>
      </c>
    </row>
    <row r="34" spans="1:29" x14ac:dyDescent="0.25">
      <c r="A34" s="13" t="str">
        <f>IFERROR(INDEX($AA$1:$AA$125,MATCH(31,$AC$1:$AC$125,0)),"")</f>
        <v/>
      </c>
      <c r="B34" s="33"/>
      <c r="C34" s="15">
        <f>IF($A34="",0,COUNTIF('Sprint W1'!$B$12:$B$16,$A34)*5+COUNTIF('Sprint W1'!$C$12:$C$16,$A34)*4+COUNTIF('Sprint W1'!$D$12:$D$16,$A34)*3+COUNTIF('Sprint W1'!$E$12:$E$16,$A34)*2+COUNTIF('Sprint W1'!$F$12:$F$16,$A34)*1)</f>
        <v>0</v>
      </c>
      <c r="D34" s="15">
        <f>IF($A34="",0,COUNTIF('Sprint W2'!$B$12:$B$16,$A34)*5+COUNTIF('Sprint W2'!$C$12:$C$16,$A34)*4+COUNTIF('Sprint W2'!$D$12:$D$16,$A34)*3+COUNTIF('Sprint W2'!$E$12:$E$16,$A34)*2+COUNTIF('Sprint W2'!$F$12:$F$16,$A34)*1)</f>
        <v>0</v>
      </c>
      <c r="E34" s="15">
        <f>IF($A34="",0,COUNTIF('Sprint W3'!$B$12:$B$16,$A34)*5+COUNTIF('Sprint W3'!$C$12:$C$16,$A34)*4+COUNTIF('Sprint W3'!$D$12:$D$16,$A34)*3+COUNTIF('Sprint W3'!$E$12:$E$16,$A34)*2+COUNTIF('Sprint W3'!$F$12:$F$16,$A34)*1)</f>
        <v>0</v>
      </c>
      <c r="F34" s="15">
        <f>IF($A34="",0,COUNTIF('Sprint W4'!$B$12:$B$16,$A34)*5+COUNTIF('Sprint W4'!$C$12:$C$16,$A34)*4+COUNTIF('Sprint W4'!$D$12:$D$16,$A34)*3+COUNTIF('Sprint W4'!$E$12:$E$16,$A34)*2+COUNTIF('Sprint W4'!$F$12:$F$16,$A34)*1)</f>
        <v>0</v>
      </c>
      <c r="G34" s="15">
        <f>IF($A34="",0,COUNTIF('Sprint W5'!$B$12:$B$16,$A34)*5+COUNTIF('Sprint W5'!$C$12:$C$16,$A34)*4+COUNTIF('Sprint W5'!$D$12:$D$16,$A34)*3+COUNTIF('Sprint W5'!$E$12:$E$16,$A34)*2+COUNTIF('Sprint W5'!$F$12:$F$16,$A34)*1)</f>
        <v>0</v>
      </c>
      <c r="H34" s="25" t="str">
        <f t="shared" si="0"/>
        <v/>
      </c>
      <c r="I34" s="26" t="str">
        <f t="shared" si="1"/>
        <v/>
      </c>
      <c r="AA34">
        <f>'Sprint W2'!E13</f>
        <v>0</v>
      </c>
      <c r="AB34">
        <f>IF(AA34="",0,IF(COUNTIF($AA$1:AA34,AA34)=1,1,0))</f>
        <v>0</v>
      </c>
      <c r="AC34" t="str">
        <f>IF(AB34=1,COUNTIF($AB$1:AB34,1),"")</f>
        <v/>
      </c>
    </row>
    <row r="35" spans="1:29" x14ac:dyDescent="0.25">
      <c r="A35" s="13" t="str">
        <f>IFERROR(INDEX($AA$1:$AA$125,MATCH(32,$AC$1:$AC$125,0)),"")</f>
        <v/>
      </c>
      <c r="B35" s="33"/>
      <c r="C35" s="15">
        <f>IF($A35="",0,COUNTIF('Sprint W1'!$B$12:$B$16,$A35)*5+COUNTIF('Sprint W1'!$C$12:$C$16,$A35)*4+COUNTIF('Sprint W1'!$D$12:$D$16,$A35)*3+COUNTIF('Sprint W1'!$E$12:$E$16,$A35)*2+COUNTIF('Sprint W1'!$F$12:$F$16,$A35)*1)</f>
        <v>0</v>
      </c>
      <c r="D35" s="15">
        <f>IF($A35="",0,COUNTIF('Sprint W2'!$B$12:$B$16,$A35)*5+COUNTIF('Sprint W2'!$C$12:$C$16,$A35)*4+COUNTIF('Sprint W2'!$D$12:$D$16,$A35)*3+COUNTIF('Sprint W2'!$E$12:$E$16,$A35)*2+COUNTIF('Sprint W2'!$F$12:$F$16,$A35)*1)</f>
        <v>0</v>
      </c>
      <c r="E35" s="15">
        <f>IF($A35="",0,COUNTIF('Sprint W3'!$B$12:$B$16,$A35)*5+COUNTIF('Sprint W3'!$C$12:$C$16,$A35)*4+COUNTIF('Sprint W3'!$D$12:$D$16,$A35)*3+COUNTIF('Sprint W3'!$E$12:$E$16,$A35)*2+COUNTIF('Sprint W3'!$F$12:$F$16,$A35)*1)</f>
        <v>0</v>
      </c>
      <c r="F35" s="15">
        <f>IF($A35="",0,COUNTIF('Sprint W4'!$B$12:$B$16,$A35)*5+COUNTIF('Sprint W4'!$C$12:$C$16,$A35)*4+COUNTIF('Sprint W4'!$D$12:$D$16,$A35)*3+COUNTIF('Sprint W4'!$E$12:$E$16,$A35)*2+COUNTIF('Sprint W4'!$F$12:$F$16,$A35)*1)</f>
        <v>0</v>
      </c>
      <c r="G35" s="15">
        <f>IF($A35="",0,COUNTIF('Sprint W5'!$B$12:$B$16,$A35)*5+COUNTIF('Sprint W5'!$C$12:$C$16,$A35)*4+COUNTIF('Sprint W5'!$D$12:$D$16,$A35)*3+COUNTIF('Sprint W5'!$E$12:$E$16,$A35)*2+COUNTIF('Sprint W5'!$F$12:$F$16,$A35)*1)</f>
        <v>0</v>
      </c>
      <c r="H35" s="25" t="str">
        <f t="shared" si="0"/>
        <v/>
      </c>
      <c r="I35" s="26" t="str">
        <f t="shared" si="1"/>
        <v/>
      </c>
      <c r="AA35">
        <f>'Sprint W2'!F13</f>
        <v>0</v>
      </c>
      <c r="AB35">
        <f>IF(AA35="",0,IF(COUNTIF($AA$1:AA35,AA35)=1,1,0))</f>
        <v>0</v>
      </c>
      <c r="AC35" t="str">
        <f>IF(AB35=1,COUNTIF($AB$1:AB35,1),"")</f>
        <v/>
      </c>
    </row>
    <row r="36" spans="1:29" x14ac:dyDescent="0.25">
      <c r="A36" s="13" t="str">
        <f>IFERROR(INDEX($AA$1:$AA$125,MATCH(33,$AC$1:$AC$125,0)),"")</f>
        <v/>
      </c>
      <c r="B36" s="33"/>
      <c r="C36" s="15">
        <f>IF($A36="",0,COUNTIF('Sprint W1'!$B$12:$B$16,$A36)*5+COUNTIF('Sprint W1'!$C$12:$C$16,$A36)*4+COUNTIF('Sprint W1'!$D$12:$D$16,$A36)*3+COUNTIF('Sprint W1'!$E$12:$E$16,$A36)*2+COUNTIF('Sprint W1'!$F$12:$F$16,$A36)*1)</f>
        <v>0</v>
      </c>
      <c r="D36" s="15">
        <f>IF($A36="",0,COUNTIF('Sprint W2'!$B$12:$B$16,$A36)*5+COUNTIF('Sprint W2'!$C$12:$C$16,$A36)*4+COUNTIF('Sprint W2'!$D$12:$D$16,$A36)*3+COUNTIF('Sprint W2'!$E$12:$E$16,$A36)*2+COUNTIF('Sprint W2'!$F$12:$F$16,$A36)*1)</f>
        <v>0</v>
      </c>
      <c r="E36" s="15">
        <f>IF($A36="",0,COUNTIF('Sprint W3'!$B$12:$B$16,$A36)*5+COUNTIF('Sprint W3'!$C$12:$C$16,$A36)*4+COUNTIF('Sprint W3'!$D$12:$D$16,$A36)*3+COUNTIF('Sprint W3'!$E$12:$E$16,$A36)*2+COUNTIF('Sprint W3'!$F$12:$F$16,$A36)*1)</f>
        <v>0</v>
      </c>
      <c r="F36" s="15">
        <f>IF($A36="",0,COUNTIF('Sprint W4'!$B$12:$B$16,$A36)*5+COUNTIF('Sprint W4'!$C$12:$C$16,$A36)*4+COUNTIF('Sprint W4'!$D$12:$D$16,$A36)*3+COUNTIF('Sprint W4'!$E$12:$E$16,$A36)*2+COUNTIF('Sprint W4'!$F$12:$F$16,$A36)*1)</f>
        <v>0</v>
      </c>
      <c r="G36" s="15">
        <f>IF($A36="",0,COUNTIF('Sprint W5'!$B$12:$B$16,$A36)*5+COUNTIF('Sprint W5'!$C$12:$C$16,$A36)*4+COUNTIF('Sprint W5'!$D$12:$D$16,$A36)*3+COUNTIF('Sprint W5'!$E$12:$E$16,$A36)*2+COUNTIF('Sprint W5'!$F$12:$F$16,$A36)*1)</f>
        <v>0</v>
      </c>
      <c r="H36" s="25" t="str">
        <f t="shared" ref="H36:H67" si="2">IF($A36="","",C36+D36+E36+F36+G36)</f>
        <v/>
      </c>
      <c r="I36" s="26" t="str">
        <f t="shared" ref="I36:I67" si="3">IF(OR($A36="",H36="",H36=0),"",RANK(H36,$H$4:$H$103,0))</f>
        <v/>
      </c>
      <c r="AA36">
        <f>'Sprint W2'!B14</f>
        <v>0</v>
      </c>
      <c r="AB36">
        <f>IF(AA36="",0,IF(COUNTIF($AA$1:AA36,AA36)=1,1,0))</f>
        <v>0</v>
      </c>
      <c r="AC36" t="str">
        <f>IF(AB36=1,COUNTIF($AB$1:AB36,1),"")</f>
        <v/>
      </c>
    </row>
    <row r="37" spans="1:29" x14ac:dyDescent="0.25">
      <c r="A37" s="13" t="str">
        <f>IFERROR(INDEX($AA$1:$AA$125,MATCH(34,$AC$1:$AC$125,0)),"")</f>
        <v/>
      </c>
      <c r="B37" s="33"/>
      <c r="C37" s="15">
        <f>IF($A37="",0,COUNTIF('Sprint W1'!$B$12:$B$16,$A37)*5+COUNTIF('Sprint W1'!$C$12:$C$16,$A37)*4+COUNTIF('Sprint W1'!$D$12:$D$16,$A37)*3+COUNTIF('Sprint W1'!$E$12:$E$16,$A37)*2+COUNTIF('Sprint W1'!$F$12:$F$16,$A37)*1)</f>
        <v>0</v>
      </c>
      <c r="D37" s="15">
        <f>IF($A37="",0,COUNTIF('Sprint W2'!$B$12:$B$16,$A37)*5+COUNTIF('Sprint W2'!$C$12:$C$16,$A37)*4+COUNTIF('Sprint W2'!$D$12:$D$16,$A37)*3+COUNTIF('Sprint W2'!$E$12:$E$16,$A37)*2+COUNTIF('Sprint W2'!$F$12:$F$16,$A37)*1)</f>
        <v>0</v>
      </c>
      <c r="E37" s="15">
        <f>IF($A37="",0,COUNTIF('Sprint W3'!$B$12:$B$16,$A37)*5+COUNTIF('Sprint W3'!$C$12:$C$16,$A37)*4+COUNTIF('Sprint W3'!$D$12:$D$16,$A37)*3+COUNTIF('Sprint W3'!$E$12:$E$16,$A37)*2+COUNTIF('Sprint W3'!$F$12:$F$16,$A37)*1)</f>
        <v>0</v>
      </c>
      <c r="F37" s="15">
        <f>IF($A37="",0,COUNTIF('Sprint W4'!$B$12:$B$16,$A37)*5+COUNTIF('Sprint W4'!$C$12:$C$16,$A37)*4+COUNTIF('Sprint W4'!$D$12:$D$16,$A37)*3+COUNTIF('Sprint W4'!$E$12:$E$16,$A37)*2+COUNTIF('Sprint W4'!$F$12:$F$16,$A37)*1)</f>
        <v>0</v>
      </c>
      <c r="G37" s="15">
        <f>IF($A37="",0,COUNTIF('Sprint W5'!$B$12:$B$16,$A37)*5+COUNTIF('Sprint W5'!$C$12:$C$16,$A37)*4+COUNTIF('Sprint W5'!$D$12:$D$16,$A37)*3+COUNTIF('Sprint W5'!$E$12:$E$16,$A37)*2+COUNTIF('Sprint W5'!$F$12:$F$16,$A37)*1)</f>
        <v>0</v>
      </c>
      <c r="H37" s="25" t="str">
        <f t="shared" si="2"/>
        <v/>
      </c>
      <c r="I37" s="26" t="str">
        <f t="shared" si="3"/>
        <v/>
      </c>
      <c r="AA37">
        <f>'Sprint W2'!C14</f>
        <v>0</v>
      </c>
      <c r="AB37">
        <f>IF(AA37="",0,IF(COUNTIF($AA$1:AA37,AA37)=1,1,0))</f>
        <v>0</v>
      </c>
      <c r="AC37" t="str">
        <f>IF(AB37=1,COUNTIF($AB$1:AB37,1),"")</f>
        <v/>
      </c>
    </row>
    <row r="38" spans="1:29" x14ac:dyDescent="0.25">
      <c r="A38" s="13" t="str">
        <f>IFERROR(INDEX($AA$1:$AA$125,MATCH(35,$AC$1:$AC$125,0)),"")</f>
        <v/>
      </c>
      <c r="B38" s="33"/>
      <c r="C38" s="15">
        <f>IF($A38="",0,COUNTIF('Sprint W1'!$B$12:$B$16,$A38)*5+COUNTIF('Sprint W1'!$C$12:$C$16,$A38)*4+COUNTIF('Sprint W1'!$D$12:$D$16,$A38)*3+COUNTIF('Sprint W1'!$E$12:$E$16,$A38)*2+COUNTIF('Sprint W1'!$F$12:$F$16,$A38)*1)</f>
        <v>0</v>
      </c>
      <c r="D38" s="15">
        <f>IF($A38="",0,COUNTIF('Sprint W2'!$B$12:$B$16,$A38)*5+COUNTIF('Sprint W2'!$C$12:$C$16,$A38)*4+COUNTIF('Sprint W2'!$D$12:$D$16,$A38)*3+COUNTIF('Sprint W2'!$E$12:$E$16,$A38)*2+COUNTIF('Sprint W2'!$F$12:$F$16,$A38)*1)</f>
        <v>0</v>
      </c>
      <c r="E38" s="15">
        <f>IF($A38="",0,COUNTIF('Sprint W3'!$B$12:$B$16,$A38)*5+COUNTIF('Sprint W3'!$C$12:$C$16,$A38)*4+COUNTIF('Sprint W3'!$D$12:$D$16,$A38)*3+COUNTIF('Sprint W3'!$E$12:$E$16,$A38)*2+COUNTIF('Sprint W3'!$F$12:$F$16,$A38)*1)</f>
        <v>0</v>
      </c>
      <c r="F38" s="15">
        <f>IF($A38="",0,COUNTIF('Sprint W4'!$B$12:$B$16,$A38)*5+COUNTIF('Sprint W4'!$C$12:$C$16,$A38)*4+COUNTIF('Sprint W4'!$D$12:$D$16,$A38)*3+COUNTIF('Sprint W4'!$E$12:$E$16,$A38)*2+COUNTIF('Sprint W4'!$F$12:$F$16,$A38)*1)</f>
        <v>0</v>
      </c>
      <c r="G38" s="15">
        <f>IF($A38="",0,COUNTIF('Sprint W5'!$B$12:$B$16,$A38)*5+COUNTIF('Sprint W5'!$C$12:$C$16,$A38)*4+COUNTIF('Sprint W5'!$D$12:$D$16,$A38)*3+COUNTIF('Sprint W5'!$E$12:$E$16,$A38)*2+COUNTIF('Sprint W5'!$F$12:$F$16,$A38)*1)</f>
        <v>0</v>
      </c>
      <c r="H38" s="25" t="str">
        <f t="shared" si="2"/>
        <v/>
      </c>
      <c r="I38" s="26" t="str">
        <f t="shared" si="3"/>
        <v/>
      </c>
      <c r="AA38">
        <f>'Sprint W2'!D14</f>
        <v>0</v>
      </c>
      <c r="AB38">
        <f>IF(AA38="",0,IF(COUNTIF($AA$1:AA38,AA38)=1,1,0))</f>
        <v>0</v>
      </c>
      <c r="AC38" t="str">
        <f>IF(AB38=1,COUNTIF($AB$1:AB38,1),"")</f>
        <v/>
      </c>
    </row>
    <row r="39" spans="1:29" x14ac:dyDescent="0.25">
      <c r="A39" s="13" t="str">
        <f>IFERROR(INDEX($AA$1:$AA$125,MATCH(36,$AC$1:$AC$125,0)),"")</f>
        <v/>
      </c>
      <c r="B39" s="33"/>
      <c r="C39" s="15">
        <f>IF($A39="",0,COUNTIF('Sprint W1'!$B$12:$B$16,$A39)*5+COUNTIF('Sprint W1'!$C$12:$C$16,$A39)*4+COUNTIF('Sprint W1'!$D$12:$D$16,$A39)*3+COUNTIF('Sprint W1'!$E$12:$E$16,$A39)*2+COUNTIF('Sprint W1'!$F$12:$F$16,$A39)*1)</f>
        <v>0</v>
      </c>
      <c r="D39" s="15">
        <f>IF($A39="",0,COUNTIF('Sprint W2'!$B$12:$B$16,$A39)*5+COUNTIF('Sprint W2'!$C$12:$C$16,$A39)*4+COUNTIF('Sprint W2'!$D$12:$D$16,$A39)*3+COUNTIF('Sprint W2'!$E$12:$E$16,$A39)*2+COUNTIF('Sprint W2'!$F$12:$F$16,$A39)*1)</f>
        <v>0</v>
      </c>
      <c r="E39" s="15">
        <f>IF($A39="",0,COUNTIF('Sprint W3'!$B$12:$B$16,$A39)*5+COUNTIF('Sprint W3'!$C$12:$C$16,$A39)*4+COUNTIF('Sprint W3'!$D$12:$D$16,$A39)*3+COUNTIF('Sprint W3'!$E$12:$E$16,$A39)*2+COUNTIF('Sprint W3'!$F$12:$F$16,$A39)*1)</f>
        <v>0</v>
      </c>
      <c r="F39" s="15">
        <f>IF($A39="",0,COUNTIF('Sprint W4'!$B$12:$B$16,$A39)*5+COUNTIF('Sprint W4'!$C$12:$C$16,$A39)*4+COUNTIF('Sprint W4'!$D$12:$D$16,$A39)*3+COUNTIF('Sprint W4'!$E$12:$E$16,$A39)*2+COUNTIF('Sprint W4'!$F$12:$F$16,$A39)*1)</f>
        <v>0</v>
      </c>
      <c r="G39" s="15">
        <f>IF($A39="",0,COUNTIF('Sprint W5'!$B$12:$B$16,$A39)*5+COUNTIF('Sprint W5'!$C$12:$C$16,$A39)*4+COUNTIF('Sprint W5'!$D$12:$D$16,$A39)*3+COUNTIF('Sprint W5'!$E$12:$E$16,$A39)*2+COUNTIF('Sprint W5'!$F$12:$F$16,$A39)*1)</f>
        <v>0</v>
      </c>
      <c r="H39" s="25" t="str">
        <f t="shared" si="2"/>
        <v/>
      </c>
      <c r="I39" s="26" t="str">
        <f t="shared" si="3"/>
        <v/>
      </c>
      <c r="AA39">
        <f>'Sprint W2'!E14</f>
        <v>0</v>
      </c>
      <c r="AB39">
        <f>IF(AA39="",0,IF(COUNTIF($AA$1:AA39,AA39)=1,1,0))</f>
        <v>0</v>
      </c>
      <c r="AC39" t="str">
        <f>IF(AB39=1,COUNTIF($AB$1:AB39,1),"")</f>
        <v/>
      </c>
    </row>
    <row r="40" spans="1:29" x14ac:dyDescent="0.25">
      <c r="A40" s="13" t="str">
        <f>IFERROR(INDEX($AA$1:$AA$125,MATCH(37,$AC$1:$AC$125,0)),"")</f>
        <v/>
      </c>
      <c r="B40" s="33"/>
      <c r="C40" s="15">
        <f>IF($A40="",0,COUNTIF('Sprint W1'!$B$12:$B$16,$A40)*5+COUNTIF('Sprint W1'!$C$12:$C$16,$A40)*4+COUNTIF('Sprint W1'!$D$12:$D$16,$A40)*3+COUNTIF('Sprint W1'!$E$12:$E$16,$A40)*2+COUNTIF('Sprint W1'!$F$12:$F$16,$A40)*1)</f>
        <v>0</v>
      </c>
      <c r="D40" s="15">
        <f>IF($A40="",0,COUNTIF('Sprint W2'!$B$12:$B$16,$A40)*5+COUNTIF('Sprint W2'!$C$12:$C$16,$A40)*4+COUNTIF('Sprint W2'!$D$12:$D$16,$A40)*3+COUNTIF('Sprint W2'!$E$12:$E$16,$A40)*2+COUNTIF('Sprint W2'!$F$12:$F$16,$A40)*1)</f>
        <v>0</v>
      </c>
      <c r="E40" s="15">
        <f>IF($A40="",0,COUNTIF('Sprint W3'!$B$12:$B$16,$A40)*5+COUNTIF('Sprint W3'!$C$12:$C$16,$A40)*4+COUNTIF('Sprint W3'!$D$12:$D$16,$A40)*3+COUNTIF('Sprint W3'!$E$12:$E$16,$A40)*2+COUNTIF('Sprint W3'!$F$12:$F$16,$A40)*1)</f>
        <v>0</v>
      </c>
      <c r="F40" s="15">
        <f>IF($A40="",0,COUNTIF('Sprint W4'!$B$12:$B$16,$A40)*5+COUNTIF('Sprint W4'!$C$12:$C$16,$A40)*4+COUNTIF('Sprint W4'!$D$12:$D$16,$A40)*3+COUNTIF('Sprint W4'!$E$12:$E$16,$A40)*2+COUNTIF('Sprint W4'!$F$12:$F$16,$A40)*1)</f>
        <v>0</v>
      </c>
      <c r="G40" s="15">
        <f>IF($A40="",0,COUNTIF('Sprint W5'!$B$12:$B$16,$A40)*5+COUNTIF('Sprint W5'!$C$12:$C$16,$A40)*4+COUNTIF('Sprint W5'!$D$12:$D$16,$A40)*3+COUNTIF('Sprint W5'!$E$12:$E$16,$A40)*2+COUNTIF('Sprint W5'!$F$12:$F$16,$A40)*1)</f>
        <v>0</v>
      </c>
      <c r="H40" s="25" t="str">
        <f t="shared" si="2"/>
        <v/>
      </c>
      <c r="I40" s="26" t="str">
        <f t="shared" si="3"/>
        <v/>
      </c>
      <c r="AA40">
        <f>'Sprint W2'!F14</f>
        <v>0</v>
      </c>
      <c r="AB40">
        <f>IF(AA40="",0,IF(COUNTIF($AA$1:AA40,AA40)=1,1,0))</f>
        <v>0</v>
      </c>
      <c r="AC40" t="str">
        <f>IF(AB40=1,COUNTIF($AB$1:AB40,1),"")</f>
        <v/>
      </c>
    </row>
    <row r="41" spans="1:29" x14ac:dyDescent="0.25">
      <c r="A41" s="13" t="str">
        <f>IFERROR(INDEX($AA$1:$AA$125,MATCH(38,$AC$1:$AC$125,0)),"")</f>
        <v/>
      </c>
      <c r="B41" s="33"/>
      <c r="C41" s="15">
        <f>IF($A41="",0,COUNTIF('Sprint W1'!$B$12:$B$16,$A41)*5+COUNTIF('Sprint W1'!$C$12:$C$16,$A41)*4+COUNTIF('Sprint W1'!$D$12:$D$16,$A41)*3+COUNTIF('Sprint W1'!$E$12:$E$16,$A41)*2+COUNTIF('Sprint W1'!$F$12:$F$16,$A41)*1)</f>
        <v>0</v>
      </c>
      <c r="D41" s="15">
        <f>IF($A41="",0,COUNTIF('Sprint W2'!$B$12:$B$16,$A41)*5+COUNTIF('Sprint W2'!$C$12:$C$16,$A41)*4+COUNTIF('Sprint W2'!$D$12:$D$16,$A41)*3+COUNTIF('Sprint W2'!$E$12:$E$16,$A41)*2+COUNTIF('Sprint W2'!$F$12:$F$16,$A41)*1)</f>
        <v>0</v>
      </c>
      <c r="E41" s="15">
        <f>IF($A41="",0,COUNTIF('Sprint W3'!$B$12:$B$16,$A41)*5+COUNTIF('Sprint W3'!$C$12:$C$16,$A41)*4+COUNTIF('Sprint W3'!$D$12:$D$16,$A41)*3+COUNTIF('Sprint W3'!$E$12:$E$16,$A41)*2+COUNTIF('Sprint W3'!$F$12:$F$16,$A41)*1)</f>
        <v>0</v>
      </c>
      <c r="F41" s="15">
        <f>IF($A41="",0,COUNTIF('Sprint W4'!$B$12:$B$16,$A41)*5+COUNTIF('Sprint W4'!$C$12:$C$16,$A41)*4+COUNTIF('Sprint W4'!$D$12:$D$16,$A41)*3+COUNTIF('Sprint W4'!$E$12:$E$16,$A41)*2+COUNTIF('Sprint W4'!$F$12:$F$16,$A41)*1)</f>
        <v>0</v>
      </c>
      <c r="G41" s="15">
        <f>IF($A41="",0,COUNTIF('Sprint W5'!$B$12:$B$16,$A41)*5+COUNTIF('Sprint W5'!$C$12:$C$16,$A41)*4+COUNTIF('Sprint W5'!$D$12:$D$16,$A41)*3+COUNTIF('Sprint W5'!$E$12:$E$16,$A41)*2+COUNTIF('Sprint W5'!$F$12:$F$16,$A41)*1)</f>
        <v>0</v>
      </c>
      <c r="H41" s="25" t="str">
        <f t="shared" si="2"/>
        <v/>
      </c>
      <c r="I41" s="26" t="str">
        <f t="shared" si="3"/>
        <v/>
      </c>
      <c r="AA41">
        <f>'Sprint W2'!B15</f>
        <v>0</v>
      </c>
      <c r="AB41">
        <f>IF(AA41="",0,IF(COUNTIF($AA$1:AA41,AA41)=1,1,0))</f>
        <v>0</v>
      </c>
      <c r="AC41" t="str">
        <f>IF(AB41=1,COUNTIF($AB$1:AB41,1),"")</f>
        <v/>
      </c>
    </row>
    <row r="42" spans="1:29" x14ac:dyDescent="0.25">
      <c r="A42" s="13" t="str">
        <f>IFERROR(INDEX($AA$1:$AA$125,MATCH(39,$AC$1:$AC$125,0)),"")</f>
        <v/>
      </c>
      <c r="B42" s="33"/>
      <c r="C42" s="15">
        <f>IF($A42="",0,COUNTIF('Sprint W1'!$B$12:$B$16,$A42)*5+COUNTIF('Sprint W1'!$C$12:$C$16,$A42)*4+COUNTIF('Sprint W1'!$D$12:$D$16,$A42)*3+COUNTIF('Sprint W1'!$E$12:$E$16,$A42)*2+COUNTIF('Sprint W1'!$F$12:$F$16,$A42)*1)</f>
        <v>0</v>
      </c>
      <c r="D42" s="15">
        <f>IF($A42="",0,COUNTIF('Sprint W2'!$B$12:$B$16,$A42)*5+COUNTIF('Sprint W2'!$C$12:$C$16,$A42)*4+COUNTIF('Sprint W2'!$D$12:$D$16,$A42)*3+COUNTIF('Sprint W2'!$E$12:$E$16,$A42)*2+COUNTIF('Sprint W2'!$F$12:$F$16,$A42)*1)</f>
        <v>0</v>
      </c>
      <c r="E42" s="15">
        <f>IF($A42="",0,COUNTIF('Sprint W3'!$B$12:$B$16,$A42)*5+COUNTIF('Sprint W3'!$C$12:$C$16,$A42)*4+COUNTIF('Sprint W3'!$D$12:$D$16,$A42)*3+COUNTIF('Sprint W3'!$E$12:$E$16,$A42)*2+COUNTIF('Sprint W3'!$F$12:$F$16,$A42)*1)</f>
        <v>0</v>
      </c>
      <c r="F42" s="15">
        <f>IF($A42="",0,COUNTIF('Sprint W4'!$B$12:$B$16,$A42)*5+COUNTIF('Sprint W4'!$C$12:$C$16,$A42)*4+COUNTIF('Sprint W4'!$D$12:$D$16,$A42)*3+COUNTIF('Sprint W4'!$E$12:$E$16,$A42)*2+COUNTIF('Sprint W4'!$F$12:$F$16,$A42)*1)</f>
        <v>0</v>
      </c>
      <c r="G42" s="15">
        <f>IF($A42="",0,COUNTIF('Sprint W5'!$B$12:$B$16,$A42)*5+COUNTIF('Sprint W5'!$C$12:$C$16,$A42)*4+COUNTIF('Sprint W5'!$D$12:$D$16,$A42)*3+COUNTIF('Sprint W5'!$E$12:$E$16,$A42)*2+COUNTIF('Sprint W5'!$F$12:$F$16,$A42)*1)</f>
        <v>0</v>
      </c>
      <c r="H42" s="25" t="str">
        <f t="shared" si="2"/>
        <v/>
      </c>
      <c r="I42" s="26" t="str">
        <f t="shared" si="3"/>
        <v/>
      </c>
      <c r="AA42">
        <f>'Sprint W2'!C15</f>
        <v>0</v>
      </c>
      <c r="AB42">
        <f>IF(AA42="",0,IF(COUNTIF($AA$1:AA42,AA42)=1,1,0))</f>
        <v>0</v>
      </c>
      <c r="AC42" t="str">
        <f>IF(AB42=1,COUNTIF($AB$1:AB42,1),"")</f>
        <v/>
      </c>
    </row>
    <row r="43" spans="1:29" x14ac:dyDescent="0.25">
      <c r="A43" s="13" t="str">
        <f>IFERROR(INDEX($AA$1:$AA$125,MATCH(40,$AC$1:$AC$125,0)),"")</f>
        <v/>
      </c>
      <c r="B43" s="33"/>
      <c r="C43" s="15">
        <f>IF($A43="",0,COUNTIF('Sprint W1'!$B$12:$B$16,$A43)*5+COUNTIF('Sprint W1'!$C$12:$C$16,$A43)*4+COUNTIF('Sprint W1'!$D$12:$D$16,$A43)*3+COUNTIF('Sprint W1'!$E$12:$E$16,$A43)*2+COUNTIF('Sprint W1'!$F$12:$F$16,$A43)*1)</f>
        <v>0</v>
      </c>
      <c r="D43" s="15">
        <f>IF($A43="",0,COUNTIF('Sprint W2'!$B$12:$B$16,$A43)*5+COUNTIF('Sprint W2'!$C$12:$C$16,$A43)*4+COUNTIF('Sprint W2'!$D$12:$D$16,$A43)*3+COUNTIF('Sprint W2'!$E$12:$E$16,$A43)*2+COUNTIF('Sprint W2'!$F$12:$F$16,$A43)*1)</f>
        <v>0</v>
      </c>
      <c r="E43" s="15">
        <f>IF($A43="",0,COUNTIF('Sprint W3'!$B$12:$B$16,$A43)*5+COUNTIF('Sprint W3'!$C$12:$C$16,$A43)*4+COUNTIF('Sprint W3'!$D$12:$D$16,$A43)*3+COUNTIF('Sprint W3'!$E$12:$E$16,$A43)*2+COUNTIF('Sprint W3'!$F$12:$F$16,$A43)*1)</f>
        <v>0</v>
      </c>
      <c r="F43" s="15">
        <f>IF($A43="",0,COUNTIF('Sprint W4'!$B$12:$B$16,$A43)*5+COUNTIF('Sprint W4'!$C$12:$C$16,$A43)*4+COUNTIF('Sprint W4'!$D$12:$D$16,$A43)*3+COUNTIF('Sprint W4'!$E$12:$E$16,$A43)*2+COUNTIF('Sprint W4'!$F$12:$F$16,$A43)*1)</f>
        <v>0</v>
      </c>
      <c r="G43" s="15">
        <f>IF($A43="",0,COUNTIF('Sprint W5'!$B$12:$B$16,$A43)*5+COUNTIF('Sprint W5'!$C$12:$C$16,$A43)*4+COUNTIF('Sprint W5'!$D$12:$D$16,$A43)*3+COUNTIF('Sprint W5'!$E$12:$E$16,$A43)*2+COUNTIF('Sprint W5'!$F$12:$F$16,$A43)*1)</f>
        <v>0</v>
      </c>
      <c r="H43" s="25" t="str">
        <f t="shared" si="2"/>
        <v/>
      </c>
      <c r="I43" s="26" t="str">
        <f t="shared" si="3"/>
        <v/>
      </c>
      <c r="AA43">
        <f>'Sprint W2'!D15</f>
        <v>0</v>
      </c>
      <c r="AB43">
        <f>IF(AA43="",0,IF(COUNTIF($AA$1:AA43,AA43)=1,1,0))</f>
        <v>0</v>
      </c>
      <c r="AC43" t="str">
        <f>IF(AB43=1,COUNTIF($AB$1:AB43,1),"")</f>
        <v/>
      </c>
    </row>
    <row r="44" spans="1:29" x14ac:dyDescent="0.25">
      <c r="A44" s="13" t="str">
        <f>IFERROR(INDEX($AA$1:$AA$125,MATCH(41,$AC$1:$AC$125,0)),"")</f>
        <v/>
      </c>
      <c r="B44" s="33"/>
      <c r="C44" s="15">
        <f>IF($A44="",0,COUNTIF('Sprint W1'!$B$12:$B$16,$A44)*5+COUNTIF('Sprint W1'!$C$12:$C$16,$A44)*4+COUNTIF('Sprint W1'!$D$12:$D$16,$A44)*3+COUNTIF('Sprint W1'!$E$12:$E$16,$A44)*2+COUNTIF('Sprint W1'!$F$12:$F$16,$A44)*1)</f>
        <v>0</v>
      </c>
      <c r="D44" s="15">
        <f>IF($A44="",0,COUNTIF('Sprint W2'!$B$12:$B$16,$A44)*5+COUNTIF('Sprint W2'!$C$12:$C$16,$A44)*4+COUNTIF('Sprint W2'!$D$12:$D$16,$A44)*3+COUNTIF('Sprint W2'!$E$12:$E$16,$A44)*2+COUNTIF('Sprint W2'!$F$12:$F$16,$A44)*1)</f>
        <v>0</v>
      </c>
      <c r="E44" s="15">
        <f>IF($A44="",0,COUNTIF('Sprint W3'!$B$12:$B$16,$A44)*5+COUNTIF('Sprint W3'!$C$12:$C$16,$A44)*4+COUNTIF('Sprint W3'!$D$12:$D$16,$A44)*3+COUNTIF('Sprint W3'!$E$12:$E$16,$A44)*2+COUNTIF('Sprint W3'!$F$12:$F$16,$A44)*1)</f>
        <v>0</v>
      </c>
      <c r="F44" s="15">
        <f>IF($A44="",0,COUNTIF('Sprint W4'!$B$12:$B$16,$A44)*5+COUNTIF('Sprint W4'!$C$12:$C$16,$A44)*4+COUNTIF('Sprint W4'!$D$12:$D$16,$A44)*3+COUNTIF('Sprint W4'!$E$12:$E$16,$A44)*2+COUNTIF('Sprint W4'!$F$12:$F$16,$A44)*1)</f>
        <v>0</v>
      </c>
      <c r="G44" s="15">
        <f>IF($A44="",0,COUNTIF('Sprint W5'!$B$12:$B$16,$A44)*5+COUNTIF('Sprint W5'!$C$12:$C$16,$A44)*4+COUNTIF('Sprint W5'!$D$12:$D$16,$A44)*3+COUNTIF('Sprint W5'!$E$12:$E$16,$A44)*2+COUNTIF('Sprint W5'!$F$12:$F$16,$A44)*1)</f>
        <v>0</v>
      </c>
      <c r="H44" s="25" t="str">
        <f t="shared" si="2"/>
        <v/>
      </c>
      <c r="I44" s="26" t="str">
        <f t="shared" si="3"/>
        <v/>
      </c>
      <c r="AA44">
        <f>'Sprint W2'!E15</f>
        <v>0</v>
      </c>
      <c r="AB44">
        <f>IF(AA44="",0,IF(COUNTIF($AA$1:AA44,AA44)=1,1,0))</f>
        <v>0</v>
      </c>
      <c r="AC44" t="str">
        <f>IF(AB44=1,COUNTIF($AB$1:AB44,1),"")</f>
        <v/>
      </c>
    </row>
    <row r="45" spans="1:29" x14ac:dyDescent="0.25">
      <c r="A45" s="13" t="str">
        <f>IFERROR(INDEX($AA$1:$AA$125,MATCH(42,$AC$1:$AC$125,0)),"")</f>
        <v/>
      </c>
      <c r="B45" s="33"/>
      <c r="C45" s="15">
        <f>IF($A45="",0,COUNTIF('Sprint W1'!$B$12:$B$16,$A45)*5+COUNTIF('Sprint W1'!$C$12:$C$16,$A45)*4+COUNTIF('Sprint W1'!$D$12:$D$16,$A45)*3+COUNTIF('Sprint W1'!$E$12:$E$16,$A45)*2+COUNTIF('Sprint W1'!$F$12:$F$16,$A45)*1)</f>
        <v>0</v>
      </c>
      <c r="D45" s="15">
        <f>IF($A45="",0,COUNTIF('Sprint W2'!$B$12:$B$16,$A45)*5+COUNTIF('Sprint W2'!$C$12:$C$16,$A45)*4+COUNTIF('Sprint W2'!$D$12:$D$16,$A45)*3+COUNTIF('Sprint W2'!$E$12:$E$16,$A45)*2+COUNTIF('Sprint W2'!$F$12:$F$16,$A45)*1)</f>
        <v>0</v>
      </c>
      <c r="E45" s="15">
        <f>IF($A45="",0,COUNTIF('Sprint W3'!$B$12:$B$16,$A45)*5+COUNTIF('Sprint W3'!$C$12:$C$16,$A45)*4+COUNTIF('Sprint W3'!$D$12:$D$16,$A45)*3+COUNTIF('Sprint W3'!$E$12:$E$16,$A45)*2+COUNTIF('Sprint W3'!$F$12:$F$16,$A45)*1)</f>
        <v>0</v>
      </c>
      <c r="F45" s="15">
        <f>IF($A45="",0,COUNTIF('Sprint W4'!$B$12:$B$16,$A45)*5+COUNTIF('Sprint W4'!$C$12:$C$16,$A45)*4+COUNTIF('Sprint W4'!$D$12:$D$16,$A45)*3+COUNTIF('Sprint W4'!$E$12:$E$16,$A45)*2+COUNTIF('Sprint W4'!$F$12:$F$16,$A45)*1)</f>
        <v>0</v>
      </c>
      <c r="G45" s="15">
        <f>IF($A45="",0,COUNTIF('Sprint W5'!$B$12:$B$16,$A45)*5+COUNTIF('Sprint W5'!$C$12:$C$16,$A45)*4+COUNTIF('Sprint W5'!$D$12:$D$16,$A45)*3+COUNTIF('Sprint W5'!$E$12:$E$16,$A45)*2+COUNTIF('Sprint W5'!$F$12:$F$16,$A45)*1)</f>
        <v>0</v>
      </c>
      <c r="H45" s="25" t="str">
        <f t="shared" si="2"/>
        <v/>
      </c>
      <c r="I45" s="26" t="str">
        <f t="shared" si="3"/>
        <v/>
      </c>
      <c r="AA45">
        <f>'Sprint W2'!F15</f>
        <v>0</v>
      </c>
      <c r="AB45">
        <f>IF(AA45="",0,IF(COUNTIF($AA$1:AA45,AA45)=1,1,0))</f>
        <v>0</v>
      </c>
      <c r="AC45" t="str">
        <f>IF(AB45=1,COUNTIF($AB$1:AB45,1),"")</f>
        <v/>
      </c>
    </row>
    <row r="46" spans="1:29" x14ac:dyDescent="0.25">
      <c r="A46" s="13" t="str">
        <f>IFERROR(INDEX($AA$1:$AA$125,MATCH(43,$AC$1:$AC$125,0)),"")</f>
        <v/>
      </c>
      <c r="B46" s="33"/>
      <c r="C46" s="15">
        <f>IF($A46="",0,COUNTIF('Sprint W1'!$B$12:$B$16,$A46)*5+COUNTIF('Sprint W1'!$C$12:$C$16,$A46)*4+COUNTIF('Sprint W1'!$D$12:$D$16,$A46)*3+COUNTIF('Sprint W1'!$E$12:$E$16,$A46)*2+COUNTIF('Sprint W1'!$F$12:$F$16,$A46)*1)</f>
        <v>0</v>
      </c>
      <c r="D46" s="15">
        <f>IF($A46="",0,COUNTIF('Sprint W2'!$B$12:$B$16,$A46)*5+COUNTIF('Sprint W2'!$C$12:$C$16,$A46)*4+COUNTIF('Sprint W2'!$D$12:$D$16,$A46)*3+COUNTIF('Sprint W2'!$E$12:$E$16,$A46)*2+COUNTIF('Sprint W2'!$F$12:$F$16,$A46)*1)</f>
        <v>0</v>
      </c>
      <c r="E46" s="15">
        <f>IF($A46="",0,COUNTIF('Sprint W3'!$B$12:$B$16,$A46)*5+COUNTIF('Sprint W3'!$C$12:$C$16,$A46)*4+COUNTIF('Sprint W3'!$D$12:$D$16,$A46)*3+COUNTIF('Sprint W3'!$E$12:$E$16,$A46)*2+COUNTIF('Sprint W3'!$F$12:$F$16,$A46)*1)</f>
        <v>0</v>
      </c>
      <c r="F46" s="15">
        <f>IF($A46="",0,COUNTIF('Sprint W4'!$B$12:$B$16,$A46)*5+COUNTIF('Sprint W4'!$C$12:$C$16,$A46)*4+COUNTIF('Sprint W4'!$D$12:$D$16,$A46)*3+COUNTIF('Sprint W4'!$E$12:$E$16,$A46)*2+COUNTIF('Sprint W4'!$F$12:$F$16,$A46)*1)</f>
        <v>0</v>
      </c>
      <c r="G46" s="15">
        <f>IF($A46="",0,COUNTIF('Sprint W5'!$B$12:$B$16,$A46)*5+COUNTIF('Sprint W5'!$C$12:$C$16,$A46)*4+COUNTIF('Sprint W5'!$D$12:$D$16,$A46)*3+COUNTIF('Sprint W5'!$E$12:$E$16,$A46)*2+COUNTIF('Sprint W5'!$F$12:$F$16,$A46)*1)</f>
        <v>0</v>
      </c>
      <c r="H46" s="25" t="str">
        <f t="shared" si="2"/>
        <v/>
      </c>
      <c r="I46" s="26" t="str">
        <f t="shared" si="3"/>
        <v/>
      </c>
      <c r="AA46">
        <f>'Sprint W2'!B16</f>
        <v>0</v>
      </c>
      <c r="AB46">
        <f>IF(AA46="",0,IF(COUNTIF($AA$1:AA46,AA46)=1,1,0))</f>
        <v>0</v>
      </c>
      <c r="AC46" t="str">
        <f>IF(AB46=1,COUNTIF($AB$1:AB46,1),"")</f>
        <v/>
      </c>
    </row>
    <row r="47" spans="1:29" x14ac:dyDescent="0.25">
      <c r="A47" s="13" t="str">
        <f>IFERROR(INDEX($AA$1:$AA$125,MATCH(44,$AC$1:$AC$125,0)),"")</f>
        <v/>
      </c>
      <c r="B47" s="33"/>
      <c r="C47" s="15">
        <f>IF($A47="",0,COUNTIF('Sprint W1'!$B$12:$B$16,$A47)*5+COUNTIF('Sprint W1'!$C$12:$C$16,$A47)*4+COUNTIF('Sprint W1'!$D$12:$D$16,$A47)*3+COUNTIF('Sprint W1'!$E$12:$E$16,$A47)*2+COUNTIF('Sprint W1'!$F$12:$F$16,$A47)*1)</f>
        <v>0</v>
      </c>
      <c r="D47" s="15">
        <f>IF($A47="",0,COUNTIF('Sprint W2'!$B$12:$B$16,$A47)*5+COUNTIF('Sprint W2'!$C$12:$C$16,$A47)*4+COUNTIF('Sprint W2'!$D$12:$D$16,$A47)*3+COUNTIF('Sprint W2'!$E$12:$E$16,$A47)*2+COUNTIF('Sprint W2'!$F$12:$F$16,$A47)*1)</f>
        <v>0</v>
      </c>
      <c r="E47" s="15">
        <f>IF($A47="",0,COUNTIF('Sprint W3'!$B$12:$B$16,$A47)*5+COUNTIF('Sprint W3'!$C$12:$C$16,$A47)*4+COUNTIF('Sprint W3'!$D$12:$D$16,$A47)*3+COUNTIF('Sprint W3'!$E$12:$E$16,$A47)*2+COUNTIF('Sprint W3'!$F$12:$F$16,$A47)*1)</f>
        <v>0</v>
      </c>
      <c r="F47" s="15">
        <f>IF($A47="",0,COUNTIF('Sprint W4'!$B$12:$B$16,$A47)*5+COUNTIF('Sprint W4'!$C$12:$C$16,$A47)*4+COUNTIF('Sprint W4'!$D$12:$D$16,$A47)*3+COUNTIF('Sprint W4'!$E$12:$E$16,$A47)*2+COUNTIF('Sprint W4'!$F$12:$F$16,$A47)*1)</f>
        <v>0</v>
      </c>
      <c r="G47" s="15">
        <f>IF($A47="",0,COUNTIF('Sprint W5'!$B$12:$B$16,$A47)*5+COUNTIF('Sprint W5'!$C$12:$C$16,$A47)*4+COUNTIF('Sprint W5'!$D$12:$D$16,$A47)*3+COUNTIF('Sprint W5'!$E$12:$E$16,$A47)*2+COUNTIF('Sprint W5'!$F$12:$F$16,$A47)*1)</f>
        <v>0</v>
      </c>
      <c r="H47" s="25" t="str">
        <f t="shared" si="2"/>
        <v/>
      </c>
      <c r="I47" s="26" t="str">
        <f t="shared" si="3"/>
        <v/>
      </c>
      <c r="AA47">
        <f>'Sprint W2'!C16</f>
        <v>0</v>
      </c>
      <c r="AB47">
        <f>IF(AA47="",0,IF(COUNTIF($AA$1:AA47,AA47)=1,1,0))</f>
        <v>0</v>
      </c>
      <c r="AC47" t="str">
        <f>IF(AB47=1,COUNTIF($AB$1:AB47,1),"")</f>
        <v/>
      </c>
    </row>
    <row r="48" spans="1:29" x14ac:dyDescent="0.25">
      <c r="A48" s="13" t="str">
        <f>IFERROR(INDEX($AA$1:$AA$125,MATCH(45,$AC$1:$AC$125,0)),"")</f>
        <v/>
      </c>
      <c r="B48" s="33"/>
      <c r="C48" s="15">
        <f>IF($A48="",0,COUNTIF('Sprint W1'!$B$12:$B$16,$A48)*5+COUNTIF('Sprint W1'!$C$12:$C$16,$A48)*4+COUNTIF('Sprint W1'!$D$12:$D$16,$A48)*3+COUNTIF('Sprint W1'!$E$12:$E$16,$A48)*2+COUNTIF('Sprint W1'!$F$12:$F$16,$A48)*1)</f>
        <v>0</v>
      </c>
      <c r="D48" s="15">
        <f>IF($A48="",0,COUNTIF('Sprint W2'!$B$12:$B$16,$A48)*5+COUNTIF('Sprint W2'!$C$12:$C$16,$A48)*4+COUNTIF('Sprint W2'!$D$12:$D$16,$A48)*3+COUNTIF('Sprint W2'!$E$12:$E$16,$A48)*2+COUNTIF('Sprint W2'!$F$12:$F$16,$A48)*1)</f>
        <v>0</v>
      </c>
      <c r="E48" s="15">
        <f>IF($A48="",0,COUNTIF('Sprint W3'!$B$12:$B$16,$A48)*5+COUNTIF('Sprint W3'!$C$12:$C$16,$A48)*4+COUNTIF('Sprint W3'!$D$12:$D$16,$A48)*3+COUNTIF('Sprint W3'!$E$12:$E$16,$A48)*2+COUNTIF('Sprint W3'!$F$12:$F$16,$A48)*1)</f>
        <v>0</v>
      </c>
      <c r="F48" s="15">
        <f>IF($A48="",0,COUNTIF('Sprint W4'!$B$12:$B$16,$A48)*5+COUNTIF('Sprint W4'!$C$12:$C$16,$A48)*4+COUNTIF('Sprint W4'!$D$12:$D$16,$A48)*3+COUNTIF('Sprint W4'!$E$12:$E$16,$A48)*2+COUNTIF('Sprint W4'!$F$12:$F$16,$A48)*1)</f>
        <v>0</v>
      </c>
      <c r="G48" s="15">
        <f>IF($A48="",0,COUNTIF('Sprint W5'!$B$12:$B$16,$A48)*5+COUNTIF('Sprint W5'!$C$12:$C$16,$A48)*4+COUNTIF('Sprint W5'!$D$12:$D$16,$A48)*3+COUNTIF('Sprint W5'!$E$12:$E$16,$A48)*2+COUNTIF('Sprint W5'!$F$12:$F$16,$A48)*1)</f>
        <v>0</v>
      </c>
      <c r="H48" s="25" t="str">
        <f t="shared" si="2"/>
        <v/>
      </c>
      <c r="I48" s="26" t="str">
        <f t="shared" si="3"/>
        <v/>
      </c>
      <c r="AA48">
        <f>'Sprint W2'!D16</f>
        <v>0</v>
      </c>
      <c r="AB48">
        <f>IF(AA48="",0,IF(COUNTIF($AA$1:AA48,AA48)=1,1,0))</f>
        <v>0</v>
      </c>
      <c r="AC48" t="str">
        <f>IF(AB48=1,COUNTIF($AB$1:AB48,1),"")</f>
        <v/>
      </c>
    </row>
    <row r="49" spans="1:29" x14ac:dyDescent="0.25">
      <c r="A49" s="13" t="str">
        <f>IFERROR(INDEX($AA$1:$AA$125,MATCH(46,$AC$1:$AC$125,0)),"")</f>
        <v/>
      </c>
      <c r="B49" s="33"/>
      <c r="C49" s="15">
        <f>IF($A49="",0,COUNTIF('Sprint W1'!$B$12:$B$16,$A49)*5+COUNTIF('Sprint W1'!$C$12:$C$16,$A49)*4+COUNTIF('Sprint W1'!$D$12:$D$16,$A49)*3+COUNTIF('Sprint W1'!$E$12:$E$16,$A49)*2+COUNTIF('Sprint W1'!$F$12:$F$16,$A49)*1)</f>
        <v>0</v>
      </c>
      <c r="D49" s="15">
        <f>IF($A49="",0,COUNTIF('Sprint W2'!$B$12:$B$16,$A49)*5+COUNTIF('Sprint W2'!$C$12:$C$16,$A49)*4+COUNTIF('Sprint W2'!$D$12:$D$16,$A49)*3+COUNTIF('Sprint W2'!$E$12:$E$16,$A49)*2+COUNTIF('Sprint W2'!$F$12:$F$16,$A49)*1)</f>
        <v>0</v>
      </c>
      <c r="E49" s="15">
        <f>IF($A49="",0,COUNTIF('Sprint W3'!$B$12:$B$16,$A49)*5+COUNTIF('Sprint W3'!$C$12:$C$16,$A49)*4+COUNTIF('Sprint W3'!$D$12:$D$16,$A49)*3+COUNTIF('Sprint W3'!$E$12:$E$16,$A49)*2+COUNTIF('Sprint W3'!$F$12:$F$16,$A49)*1)</f>
        <v>0</v>
      </c>
      <c r="F49" s="15">
        <f>IF($A49="",0,COUNTIF('Sprint W4'!$B$12:$B$16,$A49)*5+COUNTIF('Sprint W4'!$C$12:$C$16,$A49)*4+COUNTIF('Sprint W4'!$D$12:$D$16,$A49)*3+COUNTIF('Sprint W4'!$E$12:$E$16,$A49)*2+COUNTIF('Sprint W4'!$F$12:$F$16,$A49)*1)</f>
        <v>0</v>
      </c>
      <c r="G49" s="15">
        <f>IF($A49="",0,COUNTIF('Sprint W5'!$B$12:$B$16,$A49)*5+COUNTIF('Sprint W5'!$C$12:$C$16,$A49)*4+COUNTIF('Sprint W5'!$D$12:$D$16,$A49)*3+COUNTIF('Sprint W5'!$E$12:$E$16,$A49)*2+COUNTIF('Sprint W5'!$F$12:$F$16,$A49)*1)</f>
        <v>0</v>
      </c>
      <c r="H49" s="25" t="str">
        <f t="shared" si="2"/>
        <v/>
      </c>
      <c r="I49" s="26" t="str">
        <f t="shared" si="3"/>
        <v/>
      </c>
      <c r="AA49">
        <f>'Sprint W2'!E16</f>
        <v>0</v>
      </c>
      <c r="AB49">
        <f>IF(AA49="",0,IF(COUNTIF($AA$1:AA49,AA49)=1,1,0))</f>
        <v>0</v>
      </c>
      <c r="AC49" t="str">
        <f>IF(AB49=1,COUNTIF($AB$1:AB49,1),"")</f>
        <v/>
      </c>
    </row>
    <row r="50" spans="1:29" x14ac:dyDescent="0.25">
      <c r="A50" s="13" t="str">
        <f>IFERROR(INDEX($AA$1:$AA$125,MATCH(47,$AC$1:$AC$125,0)),"")</f>
        <v/>
      </c>
      <c r="B50" s="33"/>
      <c r="C50" s="15">
        <f>IF($A50="",0,COUNTIF('Sprint W1'!$B$12:$B$16,$A50)*5+COUNTIF('Sprint W1'!$C$12:$C$16,$A50)*4+COUNTIF('Sprint W1'!$D$12:$D$16,$A50)*3+COUNTIF('Sprint W1'!$E$12:$E$16,$A50)*2+COUNTIF('Sprint W1'!$F$12:$F$16,$A50)*1)</f>
        <v>0</v>
      </c>
      <c r="D50" s="15">
        <f>IF($A50="",0,COUNTIF('Sprint W2'!$B$12:$B$16,$A50)*5+COUNTIF('Sprint W2'!$C$12:$C$16,$A50)*4+COUNTIF('Sprint W2'!$D$12:$D$16,$A50)*3+COUNTIF('Sprint W2'!$E$12:$E$16,$A50)*2+COUNTIF('Sprint W2'!$F$12:$F$16,$A50)*1)</f>
        <v>0</v>
      </c>
      <c r="E50" s="15">
        <f>IF($A50="",0,COUNTIF('Sprint W3'!$B$12:$B$16,$A50)*5+COUNTIF('Sprint W3'!$C$12:$C$16,$A50)*4+COUNTIF('Sprint W3'!$D$12:$D$16,$A50)*3+COUNTIF('Sprint W3'!$E$12:$E$16,$A50)*2+COUNTIF('Sprint W3'!$F$12:$F$16,$A50)*1)</f>
        <v>0</v>
      </c>
      <c r="F50" s="15">
        <f>IF($A50="",0,COUNTIF('Sprint W4'!$B$12:$B$16,$A50)*5+COUNTIF('Sprint W4'!$C$12:$C$16,$A50)*4+COUNTIF('Sprint W4'!$D$12:$D$16,$A50)*3+COUNTIF('Sprint W4'!$E$12:$E$16,$A50)*2+COUNTIF('Sprint W4'!$F$12:$F$16,$A50)*1)</f>
        <v>0</v>
      </c>
      <c r="G50" s="15">
        <f>IF($A50="",0,COUNTIF('Sprint W5'!$B$12:$B$16,$A50)*5+COUNTIF('Sprint W5'!$C$12:$C$16,$A50)*4+COUNTIF('Sprint W5'!$D$12:$D$16,$A50)*3+COUNTIF('Sprint W5'!$E$12:$E$16,$A50)*2+COUNTIF('Sprint W5'!$F$12:$F$16,$A50)*1)</f>
        <v>0</v>
      </c>
      <c r="H50" s="25" t="str">
        <f t="shared" si="2"/>
        <v/>
      </c>
      <c r="I50" s="26" t="str">
        <f t="shared" si="3"/>
        <v/>
      </c>
      <c r="AA50">
        <f>'Sprint W2'!F16</f>
        <v>0</v>
      </c>
      <c r="AB50">
        <f>IF(AA50="",0,IF(COUNTIF($AA$1:AA50,AA50)=1,1,0))</f>
        <v>0</v>
      </c>
      <c r="AC50" t="str">
        <f>IF(AB50=1,COUNTIF($AB$1:AB50,1),"")</f>
        <v/>
      </c>
    </row>
    <row r="51" spans="1:29" x14ac:dyDescent="0.25">
      <c r="A51" s="13" t="str">
        <f>IFERROR(INDEX($AA$1:$AA$125,MATCH(48,$AC$1:$AC$125,0)),"")</f>
        <v/>
      </c>
      <c r="B51" s="33"/>
      <c r="C51" s="15">
        <f>IF($A51="",0,COUNTIF('Sprint W1'!$B$12:$B$16,$A51)*5+COUNTIF('Sprint W1'!$C$12:$C$16,$A51)*4+COUNTIF('Sprint W1'!$D$12:$D$16,$A51)*3+COUNTIF('Sprint W1'!$E$12:$E$16,$A51)*2+COUNTIF('Sprint W1'!$F$12:$F$16,$A51)*1)</f>
        <v>0</v>
      </c>
      <c r="D51" s="15">
        <f>IF($A51="",0,COUNTIF('Sprint W2'!$B$12:$B$16,$A51)*5+COUNTIF('Sprint W2'!$C$12:$C$16,$A51)*4+COUNTIF('Sprint W2'!$D$12:$D$16,$A51)*3+COUNTIF('Sprint W2'!$E$12:$E$16,$A51)*2+COUNTIF('Sprint W2'!$F$12:$F$16,$A51)*1)</f>
        <v>0</v>
      </c>
      <c r="E51" s="15">
        <f>IF($A51="",0,COUNTIF('Sprint W3'!$B$12:$B$16,$A51)*5+COUNTIF('Sprint W3'!$C$12:$C$16,$A51)*4+COUNTIF('Sprint W3'!$D$12:$D$16,$A51)*3+COUNTIF('Sprint W3'!$E$12:$E$16,$A51)*2+COUNTIF('Sprint W3'!$F$12:$F$16,$A51)*1)</f>
        <v>0</v>
      </c>
      <c r="F51" s="15">
        <f>IF($A51="",0,COUNTIF('Sprint W4'!$B$12:$B$16,$A51)*5+COUNTIF('Sprint W4'!$C$12:$C$16,$A51)*4+COUNTIF('Sprint W4'!$D$12:$D$16,$A51)*3+COUNTIF('Sprint W4'!$E$12:$E$16,$A51)*2+COUNTIF('Sprint W4'!$F$12:$F$16,$A51)*1)</f>
        <v>0</v>
      </c>
      <c r="G51" s="15">
        <f>IF($A51="",0,COUNTIF('Sprint W5'!$B$12:$B$16,$A51)*5+COUNTIF('Sprint W5'!$C$12:$C$16,$A51)*4+COUNTIF('Sprint W5'!$D$12:$D$16,$A51)*3+COUNTIF('Sprint W5'!$E$12:$E$16,$A51)*2+COUNTIF('Sprint W5'!$F$12:$F$16,$A51)*1)</f>
        <v>0</v>
      </c>
      <c r="H51" s="25" t="str">
        <f t="shared" si="2"/>
        <v/>
      </c>
      <c r="I51" s="26" t="str">
        <f t="shared" si="3"/>
        <v/>
      </c>
      <c r="AA51" t="str">
        <f>'Sprint W3'!B12</f>
        <v>Stephan Schipper</v>
      </c>
      <c r="AB51">
        <f>IF(AA51="",0,IF(COUNTIF($AA$1:AA51,AA51)=1,1,0))</f>
        <v>1</v>
      </c>
      <c r="AC51">
        <f>IF(AB51=1,COUNTIF($AB$1:AB51,1),"")</f>
        <v>2</v>
      </c>
    </row>
    <row r="52" spans="1:29" x14ac:dyDescent="0.25">
      <c r="A52" s="13" t="str">
        <f>IFERROR(INDEX($AA$1:$AA$125,MATCH(49,$AC$1:$AC$125,0)),"")</f>
        <v/>
      </c>
      <c r="B52" s="33"/>
      <c r="C52" s="15">
        <f>IF($A52="",0,COUNTIF('Sprint W1'!$B$12:$B$16,$A52)*5+COUNTIF('Sprint W1'!$C$12:$C$16,$A52)*4+COUNTIF('Sprint W1'!$D$12:$D$16,$A52)*3+COUNTIF('Sprint W1'!$E$12:$E$16,$A52)*2+COUNTIF('Sprint W1'!$F$12:$F$16,$A52)*1)</f>
        <v>0</v>
      </c>
      <c r="D52" s="15">
        <f>IF($A52="",0,COUNTIF('Sprint W2'!$B$12:$B$16,$A52)*5+COUNTIF('Sprint W2'!$C$12:$C$16,$A52)*4+COUNTIF('Sprint W2'!$D$12:$D$16,$A52)*3+COUNTIF('Sprint W2'!$E$12:$E$16,$A52)*2+COUNTIF('Sprint W2'!$F$12:$F$16,$A52)*1)</f>
        <v>0</v>
      </c>
      <c r="E52" s="15">
        <f>IF($A52="",0,COUNTIF('Sprint W3'!$B$12:$B$16,$A52)*5+COUNTIF('Sprint W3'!$C$12:$C$16,$A52)*4+COUNTIF('Sprint W3'!$D$12:$D$16,$A52)*3+COUNTIF('Sprint W3'!$E$12:$E$16,$A52)*2+COUNTIF('Sprint W3'!$F$12:$F$16,$A52)*1)</f>
        <v>0</v>
      </c>
      <c r="F52" s="15">
        <f>IF($A52="",0,COUNTIF('Sprint W4'!$B$12:$B$16,$A52)*5+COUNTIF('Sprint W4'!$C$12:$C$16,$A52)*4+COUNTIF('Sprint W4'!$D$12:$D$16,$A52)*3+COUNTIF('Sprint W4'!$E$12:$E$16,$A52)*2+COUNTIF('Sprint W4'!$F$12:$F$16,$A52)*1)</f>
        <v>0</v>
      </c>
      <c r="G52" s="15">
        <f>IF($A52="",0,COUNTIF('Sprint W5'!$B$12:$B$16,$A52)*5+COUNTIF('Sprint W5'!$C$12:$C$16,$A52)*4+COUNTIF('Sprint W5'!$D$12:$D$16,$A52)*3+COUNTIF('Sprint W5'!$E$12:$E$16,$A52)*2+COUNTIF('Sprint W5'!$F$12:$F$16,$A52)*1)</f>
        <v>0</v>
      </c>
      <c r="H52" s="25" t="str">
        <f t="shared" si="2"/>
        <v/>
      </c>
      <c r="I52" s="26" t="str">
        <f t="shared" si="3"/>
        <v/>
      </c>
      <c r="AA52" t="str">
        <f>'Sprint W3'!C12</f>
        <v>Douwe Beukers</v>
      </c>
      <c r="AB52">
        <f>IF(AA52="",0,IF(COUNTIF($AA$1:AA52,AA52)=1,1,0))</f>
        <v>1</v>
      </c>
      <c r="AC52">
        <f>IF(AB52=1,COUNTIF($AB$1:AB52,1),"")</f>
        <v>3</v>
      </c>
    </row>
    <row r="53" spans="1:29" x14ac:dyDescent="0.25">
      <c r="A53" s="13" t="str">
        <f>IFERROR(INDEX($AA$1:$AA$125,MATCH(50,$AC$1:$AC$125,0)),"")</f>
        <v/>
      </c>
      <c r="B53" s="33"/>
      <c r="C53" s="15">
        <f>IF($A53="",0,COUNTIF('Sprint W1'!$B$12:$B$16,$A53)*5+COUNTIF('Sprint W1'!$C$12:$C$16,$A53)*4+COUNTIF('Sprint W1'!$D$12:$D$16,$A53)*3+COUNTIF('Sprint W1'!$E$12:$E$16,$A53)*2+COUNTIF('Sprint W1'!$F$12:$F$16,$A53)*1)</f>
        <v>0</v>
      </c>
      <c r="D53" s="15">
        <f>IF($A53="",0,COUNTIF('Sprint W2'!$B$12:$B$16,$A53)*5+COUNTIF('Sprint W2'!$C$12:$C$16,$A53)*4+COUNTIF('Sprint W2'!$D$12:$D$16,$A53)*3+COUNTIF('Sprint W2'!$E$12:$E$16,$A53)*2+COUNTIF('Sprint W2'!$F$12:$F$16,$A53)*1)</f>
        <v>0</v>
      </c>
      <c r="E53" s="15">
        <f>IF($A53="",0,COUNTIF('Sprint W3'!$B$12:$B$16,$A53)*5+COUNTIF('Sprint W3'!$C$12:$C$16,$A53)*4+COUNTIF('Sprint W3'!$D$12:$D$16,$A53)*3+COUNTIF('Sprint W3'!$E$12:$E$16,$A53)*2+COUNTIF('Sprint W3'!$F$12:$F$16,$A53)*1)</f>
        <v>0</v>
      </c>
      <c r="F53" s="15">
        <f>IF($A53="",0,COUNTIF('Sprint W4'!$B$12:$B$16,$A53)*5+COUNTIF('Sprint W4'!$C$12:$C$16,$A53)*4+COUNTIF('Sprint W4'!$D$12:$D$16,$A53)*3+COUNTIF('Sprint W4'!$E$12:$E$16,$A53)*2+COUNTIF('Sprint W4'!$F$12:$F$16,$A53)*1)</f>
        <v>0</v>
      </c>
      <c r="G53" s="15">
        <f>IF($A53="",0,COUNTIF('Sprint W5'!$B$12:$B$16,$A53)*5+COUNTIF('Sprint W5'!$C$12:$C$16,$A53)*4+COUNTIF('Sprint W5'!$D$12:$D$16,$A53)*3+COUNTIF('Sprint W5'!$E$12:$E$16,$A53)*2+COUNTIF('Sprint W5'!$F$12:$F$16,$A53)*1)</f>
        <v>0</v>
      </c>
      <c r="H53" s="25" t="str">
        <f t="shared" si="2"/>
        <v/>
      </c>
      <c r="I53" s="26" t="str">
        <f t="shared" si="3"/>
        <v/>
      </c>
      <c r="AA53" t="str">
        <f>'Sprint W3'!D12</f>
        <v>Floris Pennings</v>
      </c>
      <c r="AB53">
        <f>IF(AA53="",0,IF(COUNTIF($AA$1:AA53,AA53)=1,1,0))</f>
        <v>1</v>
      </c>
      <c r="AC53">
        <f>IF(AB53=1,COUNTIF($AB$1:AB53,1),"")</f>
        <v>4</v>
      </c>
    </row>
    <row r="54" spans="1:29" x14ac:dyDescent="0.25">
      <c r="A54" s="13" t="str">
        <f>IFERROR(INDEX($AA$1:$AA$125,MATCH(51,$AC$1:$AC$125,0)),"")</f>
        <v/>
      </c>
      <c r="B54" s="33"/>
      <c r="C54" s="15">
        <f>IF($A54="",0,COUNTIF('Sprint W1'!$B$12:$B$16,$A54)*5+COUNTIF('Sprint W1'!$C$12:$C$16,$A54)*4+COUNTIF('Sprint W1'!$D$12:$D$16,$A54)*3+COUNTIF('Sprint W1'!$E$12:$E$16,$A54)*2+COUNTIF('Sprint W1'!$F$12:$F$16,$A54)*1)</f>
        <v>0</v>
      </c>
      <c r="D54" s="15">
        <f>IF($A54="",0,COUNTIF('Sprint W2'!$B$12:$B$16,$A54)*5+COUNTIF('Sprint W2'!$C$12:$C$16,$A54)*4+COUNTIF('Sprint W2'!$D$12:$D$16,$A54)*3+COUNTIF('Sprint W2'!$E$12:$E$16,$A54)*2+COUNTIF('Sprint W2'!$F$12:$F$16,$A54)*1)</f>
        <v>0</v>
      </c>
      <c r="E54" s="15">
        <f>IF($A54="",0,COUNTIF('Sprint W3'!$B$12:$B$16,$A54)*5+COUNTIF('Sprint W3'!$C$12:$C$16,$A54)*4+COUNTIF('Sprint W3'!$D$12:$D$16,$A54)*3+COUNTIF('Sprint W3'!$E$12:$E$16,$A54)*2+COUNTIF('Sprint W3'!$F$12:$F$16,$A54)*1)</f>
        <v>0</v>
      </c>
      <c r="F54" s="15">
        <f>IF($A54="",0,COUNTIF('Sprint W4'!$B$12:$B$16,$A54)*5+COUNTIF('Sprint W4'!$C$12:$C$16,$A54)*4+COUNTIF('Sprint W4'!$D$12:$D$16,$A54)*3+COUNTIF('Sprint W4'!$E$12:$E$16,$A54)*2+COUNTIF('Sprint W4'!$F$12:$F$16,$A54)*1)</f>
        <v>0</v>
      </c>
      <c r="G54" s="15">
        <f>IF($A54="",0,COUNTIF('Sprint W5'!$B$12:$B$16,$A54)*5+COUNTIF('Sprint W5'!$C$12:$C$16,$A54)*4+COUNTIF('Sprint W5'!$D$12:$D$16,$A54)*3+COUNTIF('Sprint W5'!$E$12:$E$16,$A54)*2+COUNTIF('Sprint W5'!$F$12:$F$16,$A54)*1)</f>
        <v>0</v>
      </c>
      <c r="H54" s="25" t="str">
        <f t="shared" si="2"/>
        <v/>
      </c>
      <c r="I54" s="26" t="str">
        <f t="shared" si="3"/>
        <v/>
      </c>
      <c r="AA54" t="str">
        <f>'Sprint W3'!E12</f>
        <v>Jacob Meijer</v>
      </c>
      <c r="AB54">
        <f>IF(AA54="",0,IF(COUNTIF($AA$1:AA54,AA54)=1,1,0))</f>
        <v>1</v>
      </c>
      <c r="AC54">
        <f>IF(AB54=1,COUNTIF($AB$1:AB54,1),"")</f>
        <v>5</v>
      </c>
    </row>
    <row r="55" spans="1:29" x14ac:dyDescent="0.25">
      <c r="A55" s="13" t="str">
        <f>IFERROR(INDEX($AA$1:$AA$125,MATCH(52,$AC$1:$AC$125,0)),"")</f>
        <v/>
      </c>
      <c r="B55" s="33"/>
      <c r="C55" s="15">
        <f>IF($A55="",0,COUNTIF('Sprint W1'!$B$12:$B$16,$A55)*5+COUNTIF('Sprint W1'!$C$12:$C$16,$A55)*4+COUNTIF('Sprint W1'!$D$12:$D$16,$A55)*3+COUNTIF('Sprint W1'!$E$12:$E$16,$A55)*2+COUNTIF('Sprint W1'!$F$12:$F$16,$A55)*1)</f>
        <v>0</v>
      </c>
      <c r="D55" s="15">
        <f>IF($A55="",0,COUNTIF('Sprint W2'!$B$12:$B$16,$A55)*5+COUNTIF('Sprint W2'!$C$12:$C$16,$A55)*4+COUNTIF('Sprint W2'!$D$12:$D$16,$A55)*3+COUNTIF('Sprint W2'!$E$12:$E$16,$A55)*2+COUNTIF('Sprint W2'!$F$12:$F$16,$A55)*1)</f>
        <v>0</v>
      </c>
      <c r="E55" s="15">
        <f>IF($A55="",0,COUNTIF('Sprint W3'!$B$12:$B$16,$A55)*5+COUNTIF('Sprint W3'!$C$12:$C$16,$A55)*4+COUNTIF('Sprint W3'!$D$12:$D$16,$A55)*3+COUNTIF('Sprint W3'!$E$12:$E$16,$A55)*2+COUNTIF('Sprint W3'!$F$12:$F$16,$A55)*1)</f>
        <v>0</v>
      </c>
      <c r="F55" s="15">
        <f>IF($A55="",0,COUNTIF('Sprint W4'!$B$12:$B$16,$A55)*5+COUNTIF('Sprint W4'!$C$12:$C$16,$A55)*4+COUNTIF('Sprint W4'!$D$12:$D$16,$A55)*3+COUNTIF('Sprint W4'!$E$12:$E$16,$A55)*2+COUNTIF('Sprint W4'!$F$12:$F$16,$A55)*1)</f>
        <v>0</v>
      </c>
      <c r="G55" s="15">
        <f>IF($A55="",0,COUNTIF('Sprint W5'!$B$12:$B$16,$A55)*5+COUNTIF('Sprint W5'!$C$12:$C$16,$A55)*4+COUNTIF('Sprint W5'!$D$12:$D$16,$A55)*3+COUNTIF('Sprint W5'!$E$12:$E$16,$A55)*2+COUNTIF('Sprint W5'!$F$12:$F$16,$A55)*1)</f>
        <v>0</v>
      </c>
      <c r="H55" s="25" t="str">
        <f t="shared" si="2"/>
        <v/>
      </c>
      <c r="I55" s="26" t="str">
        <f t="shared" si="3"/>
        <v/>
      </c>
      <c r="AA55" t="str">
        <f>'Sprint W3'!F12</f>
        <v>Jamon van Veldhuizen</v>
      </c>
      <c r="AB55">
        <f>IF(AA55="",0,IF(COUNTIF($AA$1:AA55,AA55)=1,1,0))</f>
        <v>1</v>
      </c>
      <c r="AC55">
        <f>IF(AB55=1,COUNTIF($AB$1:AB55,1),"")</f>
        <v>6</v>
      </c>
    </row>
    <row r="56" spans="1:29" x14ac:dyDescent="0.25">
      <c r="A56" s="13" t="str">
        <f>IFERROR(INDEX($AA$1:$AA$125,MATCH(53,$AC$1:$AC$125,0)),"")</f>
        <v/>
      </c>
      <c r="B56" s="33"/>
      <c r="C56" s="15">
        <f>IF($A56="",0,COUNTIF('Sprint W1'!$B$12:$B$16,$A56)*5+COUNTIF('Sprint W1'!$C$12:$C$16,$A56)*4+COUNTIF('Sprint W1'!$D$12:$D$16,$A56)*3+COUNTIF('Sprint W1'!$E$12:$E$16,$A56)*2+COUNTIF('Sprint W1'!$F$12:$F$16,$A56)*1)</f>
        <v>0</v>
      </c>
      <c r="D56" s="15">
        <f>IF($A56="",0,COUNTIF('Sprint W2'!$B$12:$B$16,$A56)*5+COUNTIF('Sprint W2'!$C$12:$C$16,$A56)*4+COUNTIF('Sprint W2'!$D$12:$D$16,$A56)*3+COUNTIF('Sprint W2'!$E$12:$E$16,$A56)*2+COUNTIF('Sprint W2'!$F$12:$F$16,$A56)*1)</f>
        <v>0</v>
      </c>
      <c r="E56" s="15">
        <f>IF($A56="",0,COUNTIF('Sprint W3'!$B$12:$B$16,$A56)*5+COUNTIF('Sprint W3'!$C$12:$C$16,$A56)*4+COUNTIF('Sprint W3'!$D$12:$D$16,$A56)*3+COUNTIF('Sprint W3'!$E$12:$E$16,$A56)*2+COUNTIF('Sprint W3'!$F$12:$F$16,$A56)*1)</f>
        <v>0</v>
      </c>
      <c r="F56" s="15">
        <f>IF($A56="",0,COUNTIF('Sprint W4'!$B$12:$B$16,$A56)*5+COUNTIF('Sprint W4'!$C$12:$C$16,$A56)*4+COUNTIF('Sprint W4'!$D$12:$D$16,$A56)*3+COUNTIF('Sprint W4'!$E$12:$E$16,$A56)*2+COUNTIF('Sprint W4'!$F$12:$F$16,$A56)*1)</f>
        <v>0</v>
      </c>
      <c r="G56" s="15">
        <f>IF($A56="",0,COUNTIF('Sprint W5'!$B$12:$B$16,$A56)*5+COUNTIF('Sprint W5'!$C$12:$C$16,$A56)*4+COUNTIF('Sprint W5'!$D$12:$D$16,$A56)*3+COUNTIF('Sprint W5'!$E$12:$E$16,$A56)*2+COUNTIF('Sprint W5'!$F$12:$F$16,$A56)*1)</f>
        <v>0</v>
      </c>
      <c r="H56" s="25" t="str">
        <f t="shared" si="2"/>
        <v/>
      </c>
      <c r="I56" s="26" t="str">
        <f t="shared" si="3"/>
        <v/>
      </c>
      <c r="AA56" t="str">
        <f>'Sprint W3'!B13</f>
        <v>Douwe Beukers</v>
      </c>
      <c r="AB56">
        <f>IF(AA56="",0,IF(COUNTIF($AA$1:AA56,AA56)=1,1,0))</f>
        <v>0</v>
      </c>
      <c r="AC56" t="str">
        <f>IF(AB56=1,COUNTIF($AB$1:AB56,1),"")</f>
        <v/>
      </c>
    </row>
    <row r="57" spans="1:29" x14ac:dyDescent="0.25">
      <c r="A57" s="13" t="str">
        <f>IFERROR(INDEX($AA$1:$AA$125,MATCH(54,$AC$1:$AC$125,0)),"")</f>
        <v/>
      </c>
      <c r="B57" s="33"/>
      <c r="C57" s="15">
        <f>IF($A57="",0,COUNTIF('Sprint W1'!$B$12:$B$16,$A57)*5+COUNTIF('Sprint W1'!$C$12:$C$16,$A57)*4+COUNTIF('Sprint W1'!$D$12:$D$16,$A57)*3+COUNTIF('Sprint W1'!$E$12:$E$16,$A57)*2+COUNTIF('Sprint W1'!$F$12:$F$16,$A57)*1)</f>
        <v>0</v>
      </c>
      <c r="D57" s="15">
        <f>IF($A57="",0,COUNTIF('Sprint W2'!$B$12:$B$16,$A57)*5+COUNTIF('Sprint W2'!$C$12:$C$16,$A57)*4+COUNTIF('Sprint W2'!$D$12:$D$16,$A57)*3+COUNTIF('Sprint W2'!$E$12:$E$16,$A57)*2+COUNTIF('Sprint W2'!$F$12:$F$16,$A57)*1)</f>
        <v>0</v>
      </c>
      <c r="E57" s="15">
        <f>IF($A57="",0,COUNTIF('Sprint W3'!$B$12:$B$16,$A57)*5+COUNTIF('Sprint W3'!$C$12:$C$16,$A57)*4+COUNTIF('Sprint W3'!$D$12:$D$16,$A57)*3+COUNTIF('Sprint W3'!$E$12:$E$16,$A57)*2+COUNTIF('Sprint W3'!$F$12:$F$16,$A57)*1)</f>
        <v>0</v>
      </c>
      <c r="F57" s="15">
        <f>IF($A57="",0,COUNTIF('Sprint W4'!$B$12:$B$16,$A57)*5+COUNTIF('Sprint W4'!$C$12:$C$16,$A57)*4+COUNTIF('Sprint W4'!$D$12:$D$16,$A57)*3+COUNTIF('Sprint W4'!$E$12:$E$16,$A57)*2+COUNTIF('Sprint W4'!$F$12:$F$16,$A57)*1)</f>
        <v>0</v>
      </c>
      <c r="G57" s="15">
        <f>IF($A57="",0,COUNTIF('Sprint W5'!$B$12:$B$16,$A57)*5+COUNTIF('Sprint W5'!$C$12:$C$16,$A57)*4+COUNTIF('Sprint W5'!$D$12:$D$16,$A57)*3+COUNTIF('Sprint W5'!$E$12:$E$16,$A57)*2+COUNTIF('Sprint W5'!$F$12:$F$16,$A57)*1)</f>
        <v>0</v>
      </c>
      <c r="H57" s="25" t="str">
        <f t="shared" si="2"/>
        <v/>
      </c>
      <c r="I57" s="26" t="str">
        <f t="shared" si="3"/>
        <v/>
      </c>
      <c r="AA57" t="str">
        <f>'Sprint W3'!C13</f>
        <v>Floris Pennings</v>
      </c>
      <c r="AB57">
        <f>IF(AA57="",0,IF(COUNTIF($AA$1:AA57,AA57)=1,1,0))</f>
        <v>0</v>
      </c>
      <c r="AC57" t="str">
        <f>IF(AB57=1,COUNTIF($AB$1:AB57,1),"")</f>
        <v/>
      </c>
    </row>
    <row r="58" spans="1:29" x14ac:dyDescent="0.25">
      <c r="A58" s="13" t="str">
        <f>IFERROR(INDEX($AA$1:$AA$125,MATCH(55,$AC$1:$AC$125,0)),"")</f>
        <v/>
      </c>
      <c r="B58" s="33"/>
      <c r="C58" s="15">
        <f>IF($A58="",0,COUNTIF('Sprint W1'!$B$12:$B$16,$A58)*5+COUNTIF('Sprint W1'!$C$12:$C$16,$A58)*4+COUNTIF('Sprint W1'!$D$12:$D$16,$A58)*3+COUNTIF('Sprint W1'!$E$12:$E$16,$A58)*2+COUNTIF('Sprint W1'!$F$12:$F$16,$A58)*1)</f>
        <v>0</v>
      </c>
      <c r="D58" s="15">
        <f>IF($A58="",0,COUNTIF('Sprint W2'!$B$12:$B$16,$A58)*5+COUNTIF('Sprint W2'!$C$12:$C$16,$A58)*4+COUNTIF('Sprint W2'!$D$12:$D$16,$A58)*3+COUNTIF('Sprint W2'!$E$12:$E$16,$A58)*2+COUNTIF('Sprint W2'!$F$12:$F$16,$A58)*1)</f>
        <v>0</v>
      </c>
      <c r="E58" s="15">
        <f>IF($A58="",0,COUNTIF('Sprint W3'!$B$12:$B$16,$A58)*5+COUNTIF('Sprint W3'!$C$12:$C$16,$A58)*4+COUNTIF('Sprint W3'!$D$12:$D$16,$A58)*3+COUNTIF('Sprint W3'!$E$12:$E$16,$A58)*2+COUNTIF('Sprint W3'!$F$12:$F$16,$A58)*1)</f>
        <v>0</v>
      </c>
      <c r="F58" s="15">
        <f>IF($A58="",0,COUNTIF('Sprint W4'!$B$12:$B$16,$A58)*5+COUNTIF('Sprint W4'!$C$12:$C$16,$A58)*4+COUNTIF('Sprint W4'!$D$12:$D$16,$A58)*3+COUNTIF('Sprint W4'!$E$12:$E$16,$A58)*2+COUNTIF('Sprint W4'!$F$12:$F$16,$A58)*1)</f>
        <v>0</v>
      </c>
      <c r="G58" s="15">
        <f>IF($A58="",0,COUNTIF('Sprint W5'!$B$12:$B$16,$A58)*5+COUNTIF('Sprint W5'!$C$12:$C$16,$A58)*4+COUNTIF('Sprint W5'!$D$12:$D$16,$A58)*3+COUNTIF('Sprint W5'!$E$12:$E$16,$A58)*2+COUNTIF('Sprint W5'!$F$12:$F$16,$A58)*1)</f>
        <v>0</v>
      </c>
      <c r="H58" s="25" t="str">
        <f t="shared" si="2"/>
        <v/>
      </c>
      <c r="I58" s="26" t="str">
        <f t="shared" si="3"/>
        <v/>
      </c>
      <c r="AA58" t="str">
        <f>'Sprint W3'!D13</f>
        <v>Stephan Schipper</v>
      </c>
      <c r="AB58">
        <f>IF(AA58="",0,IF(COUNTIF($AA$1:AA58,AA58)=1,1,0))</f>
        <v>0</v>
      </c>
      <c r="AC58" t="str">
        <f>IF(AB58=1,COUNTIF($AB$1:AB58,1),"")</f>
        <v/>
      </c>
    </row>
    <row r="59" spans="1:29" x14ac:dyDescent="0.25">
      <c r="A59" s="13" t="str">
        <f>IFERROR(INDEX($AA$1:$AA$125,MATCH(56,$AC$1:$AC$125,0)),"")</f>
        <v/>
      </c>
      <c r="B59" s="33"/>
      <c r="C59" s="15">
        <f>IF($A59="",0,COUNTIF('Sprint W1'!$B$12:$B$16,$A59)*5+COUNTIF('Sprint W1'!$C$12:$C$16,$A59)*4+COUNTIF('Sprint W1'!$D$12:$D$16,$A59)*3+COUNTIF('Sprint W1'!$E$12:$E$16,$A59)*2+COUNTIF('Sprint W1'!$F$12:$F$16,$A59)*1)</f>
        <v>0</v>
      </c>
      <c r="D59" s="15">
        <f>IF($A59="",0,COUNTIF('Sprint W2'!$B$12:$B$16,$A59)*5+COUNTIF('Sprint W2'!$C$12:$C$16,$A59)*4+COUNTIF('Sprint W2'!$D$12:$D$16,$A59)*3+COUNTIF('Sprint W2'!$E$12:$E$16,$A59)*2+COUNTIF('Sprint W2'!$F$12:$F$16,$A59)*1)</f>
        <v>0</v>
      </c>
      <c r="E59" s="15">
        <f>IF($A59="",0,COUNTIF('Sprint W3'!$B$12:$B$16,$A59)*5+COUNTIF('Sprint W3'!$C$12:$C$16,$A59)*4+COUNTIF('Sprint W3'!$D$12:$D$16,$A59)*3+COUNTIF('Sprint W3'!$E$12:$E$16,$A59)*2+COUNTIF('Sprint W3'!$F$12:$F$16,$A59)*1)</f>
        <v>0</v>
      </c>
      <c r="F59" s="15">
        <f>IF($A59="",0,COUNTIF('Sprint W4'!$B$12:$B$16,$A59)*5+COUNTIF('Sprint W4'!$C$12:$C$16,$A59)*4+COUNTIF('Sprint W4'!$D$12:$D$16,$A59)*3+COUNTIF('Sprint W4'!$E$12:$E$16,$A59)*2+COUNTIF('Sprint W4'!$F$12:$F$16,$A59)*1)</f>
        <v>0</v>
      </c>
      <c r="G59" s="15">
        <f>IF($A59="",0,COUNTIF('Sprint W5'!$B$12:$B$16,$A59)*5+COUNTIF('Sprint W5'!$C$12:$C$16,$A59)*4+COUNTIF('Sprint W5'!$D$12:$D$16,$A59)*3+COUNTIF('Sprint W5'!$E$12:$E$16,$A59)*2+COUNTIF('Sprint W5'!$F$12:$F$16,$A59)*1)</f>
        <v>0</v>
      </c>
      <c r="H59" s="25" t="str">
        <f t="shared" si="2"/>
        <v/>
      </c>
      <c r="I59" s="26" t="str">
        <f t="shared" si="3"/>
        <v/>
      </c>
      <c r="AA59" t="str">
        <f>'Sprint W3'!E13</f>
        <v>Steven van de Wilk</v>
      </c>
      <c r="AB59">
        <f>IF(AA59="",0,IF(COUNTIF($AA$1:AA59,AA59)=1,1,0))</f>
        <v>1</v>
      </c>
      <c r="AC59">
        <f>IF(AB59=1,COUNTIF($AB$1:AB59,1),"")</f>
        <v>7</v>
      </c>
    </row>
    <row r="60" spans="1:29" x14ac:dyDescent="0.25">
      <c r="A60" s="13" t="str">
        <f>IFERROR(INDEX($AA$1:$AA$125,MATCH(57,$AC$1:$AC$125,0)),"")</f>
        <v/>
      </c>
      <c r="B60" s="33"/>
      <c r="C60" s="15">
        <f>IF($A60="",0,COUNTIF('Sprint W1'!$B$12:$B$16,$A60)*5+COUNTIF('Sprint W1'!$C$12:$C$16,$A60)*4+COUNTIF('Sprint W1'!$D$12:$D$16,$A60)*3+COUNTIF('Sprint W1'!$E$12:$E$16,$A60)*2+COUNTIF('Sprint W1'!$F$12:$F$16,$A60)*1)</f>
        <v>0</v>
      </c>
      <c r="D60" s="15">
        <f>IF($A60="",0,COUNTIF('Sprint W2'!$B$12:$B$16,$A60)*5+COUNTIF('Sprint W2'!$C$12:$C$16,$A60)*4+COUNTIF('Sprint W2'!$D$12:$D$16,$A60)*3+COUNTIF('Sprint W2'!$E$12:$E$16,$A60)*2+COUNTIF('Sprint W2'!$F$12:$F$16,$A60)*1)</f>
        <v>0</v>
      </c>
      <c r="E60" s="15">
        <f>IF($A60="",0,COUNTIF('Sprint W3'!$B$12:$B$16,$A60)*5+COUNTIF('Sprint W3'!$C$12:$C$16,$A60)*4+COUNTIF('Sprint W3'!$D$12:$D$16,$A60)*3+COUNTIF('Sprint W3'!$E$12:$E$16,$A60)*2+COUNTIF('Sprint W3'!$F$12:$F$16,$A60)*1)</f>
        <v>0</v>
      </c>
      <c r="F60" s="15">
        <f>IF($A60="",0,COUNTIF('Sprint W4'!$B$12:$B$16,$A60)*5+COUNTIF('Sprint W4'!$C$12:$C$16,$A60)*4+COUNTIF('Sprint W4'!$D$12:$D$16,$A60)*3+COUNTIF('Sprint W4'!$E$12:$E$16,$A60)*2+COUNTIF('Sprint W4'!$F$12:$F$16,$A60)*1)</f>
        <v>0</v>
      </c>
      <c r="G60" s="15">
        <f>IF($A60="",0,COUNTIF('Sprint W5'!$B$12:$B$16,$A60)*5+COUNTIF('Sprint W5'!$C$12:$C$16,$A60)*4+COUNTIF('Sprint W5'!$D$12:$D$16,$A60)*3+COUNTIF('Sprint W5'!$E$12:$E$16,$A60)*2+COUNTIF('Sprint W5'!$F$12:$F$16,$A60)*1)</f>
        <v>0</v>
      </c>
      <c r="H60" s="25" t="str">
        <f t="shared" si="2"/>
        <v/>
      </c>
      <c r="I60" s="26" t="str">
        <f t="shared" si="3"/>
        <v/>
      </c>
      <c r="AA60" t="str">
        <f>'Sprint W3'!F13</f>
        <v>Etienne Bouw</v>
      </c>
      <c r="AB60">
        <f>IF(AA60="",0,IF(COUNTIF($AA$1:AA60,AA60)=1,1,0))</f>
        <v>1</v>
      </c>
      <c r="AC60">
        <f>IF(AB60=1,COUNTIF($AB$1:AB60,1),"")</f>
        <v>8</v>
      </c>
    </row>
    <row r="61" spans="1:29" x14ac:dyDescent="0.25">
      <c r="A61" s="13" t="str">
        <f>IFERROR(INDEX($AA$1:$AA$125,MATCH(58,$AC$1:$AC$125,0)),"")</f>
        <v/>
      </c>
      <c r="B61" s="33"/>
      <c r="C61" s="15">
        <f>IF($A61="",0,COUNTIF('Sprint W1'!$B$12:$B$16,$A61)*5+COUNTIF('Sprint W1'!$C$12:$C$16,$A61)*4+COUNTIF('Sprint W1'!$D$12:$D$16,$A61)*3+COUNTIF('Sprint W1'!$E$12:$E$16,$A61)*2+COUNTIF('Sprint W1'!$F$12:$F$16,$A61)*1)</f>
        <v>0</v>
      </c>
      <c r="D61" s="15">
        <f>IF($A61="",0,COUNTIF('Sprint W2'!$B$12:$B$16,$A61)*5+COUNTIF('Sprint W2'!$C$12:$C$16,$A61)*4+COUNTIF('Sprint W2'!$D$12:$D$16,$A61)*3+COUNTIF('Sprint W2'!$E$12:$E$16,$A61)*2+COUNTIF('Sprint W2'!$F$12:$F$16,$A61)*1)</f>
        <v>0</v>
      </c>
      <c r="E61" s="15">
        <f>IF($A61="",0,COUNTIF('Sprint W3'!$B$12:$B$16,$A61)*5+COUNTIF('Sprint W3'!$C$12:$C$16,$A61)*4+COUNTIF('Sprint W3'!$D$12:$D$16,$A61)*3+COUNTIF('Sprint W3'!$E$12:$E$16,$A61)*2+COUNTIF('Sprint W3'!$F$12:$F$16,$A61)*1)</f>
        <v>0</v>
      </c>
      <c r="F61" s="15">
        <f>IF($A61="",0,COUNTIF('Sprint W4'!$B$12:$B$16,$A61)*5+COUNTIF('Sprint W4'!$C$12:$C$16,$A61)*4+COUNTIF('Sprint W4'!$D$12:$D$16,$A61)*3+COUNTIF('Sprint W4'!$E$12:$E$16,$A61)*2+COUNTIF('Sprint W4'!$F$12:$F$16,$A61)*1)</f>
        <v>0</v>
      </c>
      <c r="G61" s="15">
        <f>IF($A61="",0,COUNTIF('Sprint W5'!$B$12:$B$16,$A61)*5+COUNTIF('Sprint W5'!$C$12:$C$16,$A61)*4+COUNTIF('Sprint W5'!$D$12:$D$16,$A61)*3+COUNTIF('Sprint W5'!$E$12:$E$16,$A61)*2+COUNTIF('Sprint W5'!$F$12:$F$16,$A61)*1)</f>
        <v>0</v>
      </c>
      <c r="H61" s="25" t="str">
        <f t="shared" si="2"/>
        <v/>
      </c>
      <c r="I61" s="26" t="str">
        <f t="shared" si="3"/>
        <v/>
      </c>
      <c r="AA61" t="str">
        <f>'Sprint W3'!B14</f>
        <v>Douwe Beukers</v>
      </c>
      <c r="AB61">
        <f>IF(AA61="",0,IF(COUNTIF($AA$1:AA61,AA61)=1,1,0))</f>
        <v>0</v>
      </c>
      <c r="AC61" t="str">
        <f>IF(AB61=1,COUNTIF($AB$1:AB61,1),"")</f>
        <v/>
      </c>
    </row>
    <row r="62" spans="1:29" x14ac:dyDescent="0.25">
      <c r="A62" s="13" t="str">
        <f>IFERROR(INDEX($AA$1:$AA$125,MATCH(59,$AC$1:$AC$125,0)),"")</f>
        <v/>
      </c>
      <c r="B62" s="33"/>
      <c r="C62" s="15">
        <f>IF($A62="",0,COUNTIF('Sprint W1'!$B$12:$B$16,$A62)*5+COUNTIF('Sprint W1'!$C$12:$C$16,$A62)*4+COUNTIF('Sprint W1'!$D$12:$D$16,$A62)*3+COUNTIF('Sprint W1'!$E$12:$E$16,$A62)*2+COUNTIF('Sprint W1'!$F$12:$F$16,$A62)*1)</f>
        <v>0</v>
      </c>
      <c r="D62" s="15">
        <f>IF($A62="",0,COUNTIF('Sprint W2'!$B$12:$B$16,$A62)*5+COUNTIF('Sprint W2'!$C$12:$C$16,$A62)*4+COUNTIF('Sprint W2'!$D$12:$D$16,$A62)*3+COUNTIF('Sprint W2'!$E$12:$E$16,$A62)*2+COUNTIF('Sprint W2'!$F$12:$F$16,$A62)*1)</f>
        <v>0</v>
      </c>
      <c r="E62" s="15">
        <f>IF($A62="",0,COUNTIF('Sprint W3'!$B$12:$B$16,$A62)*5+COUNTIF('Sprint W3'!$C$12:$C$16,$A62)*4+COUNTIF('Sprint W3'!$D$12:$D$16,$A62)*3+COUNTIF('Sprint W3'!$E$12:$E$16,$A62)*2+COUNTIF('Sprint W3'!$F$12:$F$16,$A62)*1)</f>
        <v>0</v>
      </c>
      <c r="F62" s="15">
        <f>IF($A62="",0,COUNTIF('Sprint W4'!$B$12:$B$16,$A62)*5+COUNTIF('Sprint W4'!$C$12:$C$16,$A62)*4+COUNTIF('Sprint W4'!$D$12:$D$16,$A62)*3+COUNTIF('Sprint W4'!$E$12:$E$16,$A62)*2+COUNTIF('Sprint W4'!$F$12:$F$16,$A62)*1)</f>
        <v>0</v>
      </c>
      <c r="G62" s="15">
        <f>IF($A62="",0,COUNTIF('Sprint W5'!$B$12:$B$16,$A62)*5+COUNTIF('Sprint W5'!$C$12:$C$16,$A62)*4+COUNTIF('Sprint W5'!$D$12:$D$16,$A62)*3+COUNTIF('Sprint W5'!$E$12:$E$16,$A62)*2+COUNTIF('Sprint W5'!$F$12:$F$16,$A62)*1)</f>
        <v>0</v>
      </c>
      <c r="H62" s="25" t="str">
        <f t="shared" si="2"/>
        <v/>
      </c>
      <c r="I62" s="26" t="str">
        <f t="shared" si="3"/>
        <v/>
      </c>
      <c r="AA62" t="str">
        <f>'Sprint W3'!C14</f>
        <v>Floris Pennings</v>
      </c>
      <c r="AB62">
        <f>IF(AA62="",0,IF(COUNTIF($AA$1:AA62,AA62)=1,1,0))</f>
        <v>0</v>
      </c>
      <c r="AC62" t="str">
        <f>IF(AB62=1,COUNTIF($AB$1:AB62,1),"")</f>
        <v/>
      </c>
    </row>
    <row r="63" spans="1:29" x14ac:dyDescent="0.25">
      <c r="A63" s="13" t="str">
        <f>IFERROR(INDEX($AA$1:$AA$125,MATCH(60,$AC$1:$AC$125,0)),"")</f>
        <v/>
      </c>
      <c r="B63" s="33"/>
      <c r="C63" s="15">
        <f>IF($A63="",0,COUNTIF('Sprint W1'!$B$12:$B$16,$A63)*5+COUNTIF('Sprint W1'!$C$12:$C$16,$A63)*4+COUNTIF('Sprint W1'!$D$12:$D$16,$A63)*3+COUNTIF('Sprint W1'!$E$12:$E$16,$A63)*2+COUNTIF('Sprint W1'!$F$12:$F$16,$A63)*1)</f>
        <v>0</v>
      </c>
      <c r="D63" s="15">
        <f>IF($A63="",0,COUNTIF('Sprint W2'!$B$12:$B$16,$A63)*5+COUNTIF('Sprint W2'!$C$12:$C$16,$A63)*4+COUNTIF('Sprint W2'!$D$12:$D$16,$A63)*3+COUNTIF('Sprint W2'!$E$12:$E$16,$A63)*2+COUNTIF('Sprint W2'!$F$12:$F$16,$A63)*1)</f>
        <v>0</v>
      </c>
      <c r="E63" s="15">
        <f>IF($A63="",0,COUNTIF('Sprint W3'!$B$12:$B$16,$A63)*5+COUNTIF('Sprint W3'!$C$12:$C$16,$A63)*4+COUNTIF('Sprint W3'!$D$12:$D$16,$A63)*3+COUNTIF('Sprint W3'!$E$12:$E$16,$A63)*2+COUNTIF('Sprint W3'!$F$12:$F$16,$A63)*1)</f>
        <v>0</v>
      </c>
      <c r="F63" s="15">
        <f>IF($A63="",0,COUNTIF('Sprint W4'!$B$12:$B$16,$A63)*5+COUNTIF('Sprint W4'!$C$12:$C$16,$A63)*4+COUNTIF('Sprint W4'!$D$12:$D$16,$A63)*3+COUNTIF('Sprint W4'!$E$12:$E$16,$A63)*2+COUNTIF('Sprint W4'!$F$12:$F$16,$A63)*1)</f>
        <v>0</v>
      </c>
      <c r="G63" s="15">
        <f>IF($A63="",0,COUNTIF('Sprint W5'!$B$12:$B$16,$A63)*5+COUNTIF('Sprint W5'!$C$12:$C$16,$A63)*4+COUNTIF('Sprint W5'!$D$12:$D$16,$A63)*3+COUNTIF('Sprint W5'!$E$12:$E$16,$A63)*2+COUNTIF('Sprint W5'!$F$12:$F$16,$A63)*1)</f>
        <v>0</v>
      </c>
      <c r="H63" s="25" t="str">
        <f t="shared" si="2"/>
        <v/>
      </c>
      <c r="I63" s="26" t="str">
        <f t="shared" si="3"/>
        <v/>
      </c>
      <c r="AA63" t="str">
        <f>'Sprint W3'!D14</f>
        <v>Stephan Schipper</v>
      </c>
      <c r="AB63">
        <f>IF(AA63="",0,IF(COUNTIF($AA$1:AA63,AA63)=1,1,0))</f>
        <v>0</v>
      </c>
      <c r="AC63" t="str">
        <f>IF(AB63=1,COUNTIF($AB$1:AB63,1),"")</f>
        <v/>
      </c>
    </row>
    <row r="64" spans="1:29" x14ac:dyDescent="0.25">
      <c r="A64" s="13" t="str">
        <f>IFERROR(INDEX($AA$1:$AA$125,MATCH(61,$AC$1:$AC$125,0)),"")</f>
        <v/>
      </c>
      <c r="B64" s="33"/>
      <c r="C64" s="15">
        <f>IF($A64="",0,COUNTIF('Sprint W1'!$B$12:$B$16,$A64)*5+COUNTIF('Sprint W1'!$C$12:$C$16,$A64)*4+COUNTIF('Sprint W1'!$D$12:$D$16,$A64)*3+COUNTIF('Sprint W1'!$E$12:$E$16,$A64)*2+COUNTIF('Sprint W1'!$F$12:$F$16,$A64)*1)</f>
        <v>0</v>
      </c>
      <c r="D64" s="15">
        <f>IF($A64="",0,COUNTIF('Sprint W2'!$B$12:$B$16,$A64)*5+COUNTIF('Sprint W2'!$C$12:$C$16,$A64)*4+COUNTIF('Sprint W2'!$D$12:$D$16,$A64)*3+COUNTIF('Sprint W2'!$E$12:$E$16,$A64)*2+COUNTIF('Sprint W2'!$F$12:$F$16,$A64)*1)</f>
        <v>0</v>
      </c>
      <c r="E64" s="15">
        <f>IF($A64="",0,COUNTIF('Sprint W3'!$B$12:$B$16,$A64)*5+COUNTIF('Sprint W3'!$C$12:$C$16,$A64)*4+COUNTIF('Sprint W3'!$D$12:$D$16,$A64)*3+COUNTIF('Sprint W3'!$E$12:$E$16,$A64)*2+COUNTIF('Sprint W3'!$F$12:$F$16,$A64)*1)</f>
        <v>0</v>
      </c>
      <c r="F64" s="15">
        <f>IF($A64="",0,COUNTIF('Sprint W4'!$B$12:$B$16,$A64)*5+COUNTIF('Sprint W4'!$C$12:$C$16,$A64)*4+COUNTIF('Sprint W4'!$D$12:$D$16,$A64)*3+COUNTIF('Sprint W4'!$E$12:$E$16,$A64)*2+COUNTIF('Sprint W4'!$F$12:$F$16,$A64)*1)</f>
        <v>0</v>
      </c>
      <c r="G64" s="15">
        <f>IF($A64="",0,COUNTIF('Sprint W5'!$B$12:$B$16,$A64)*5+COUNTIF('Sprint W5'!$C$12:$C$16,$A64)*4+COUNTIF('Sprint W5'!$D$12:$D$16,$A64)*3+COUNTIF('Sprint W5'!$E$12:$E$16,$A64)*2+COUNTIF('Sprint W5'!$F$12:$F$16,$A64)*1)</f>
        <v>0</v>
      </c>
      <c r="H64" s="25" t="str">
        <f t="shared" si="2"/>
        <v/>
      </c>
      <c r="I64" s="26" t="str">
        <f t="shared" si="3"/>
        <v/>
      </c>
      <c r="AA64" t="str">
        <f>'Sprint W3'!E14</f>
        <v>Steven van der Wilk</v>
      </c>
      <c r="AB64">
        <f>IF(AA64="",0,IF(COUNTIF($AA$1:AA64,AA64)=1,1,0))</f>
        <v>1</v>
      </c>
      <c r="AC64">
        <f>IF(AB64=1,COUNTIF($AB$1:AB64,1),"")</f>
        <v>9</v>
      </c>
    </row>
    <row r="65" spans="1:29" x14ac:dyDescent="0.25">
      <c r="A65" s="13" t="str">
        <f>IFERROR(INDEX($AA$1:$AA$125,MATCH(62,$AC$1:$AC$125,0)),"")</f>
        <v/>
      </c>
      <c r="B65" s="33"/>
      <c r="C65" s="15">
        <f>IF($A65="",0,COUNTIF('Sprint W1'!$B$12:$B$16,$A65)*5+COUNTIF('Sprint W1'!$C$12:$C$16,$A65)*4+COUNTIF('Sprint W1'!$D$12:$D$16,$A65)*3+COUNTIF('Sprint W1'!$E$12:$E$16,$A65)*2+COUNTIF('Sprint W1'!$F$12:$F$16,$A65)*1)</f>
        <v>0</v>
      </c>
      <c r="D65" s="15">
        <f>IF($A65="",0,COUNTIF('Sprint W2'!$B$12:$B$16,$A65)*5+COUNTIF('Sprint W2'!$C$12:$C$16,$A65)*4+COUNTIF('Sprint W2'!$D$12:$D$16,$A65)*3+COUNTIF('Sprint W2'!$E$12:$E$16,$A65)*2+COUNTIF('Sprint W2'!$F$12:$F$16,$A65)*1)</f>
        <v>0</v>
      </c>
      <c r="E65" s="15">
        <f>IF($A65="",0,COUNTIF('Sprint W3'!$B$12:$B$16,$A65)*5+COUNTIF('Sprint W3'!$C$12:$C$16,$A65)*4+COUNTIF('Sprint W3'!$D$12:$D$16,$A65)*3+COUNTIF('Sprint W3'!$E$12:$E$16,$A65)*2+COUNTIF('Sprint W3'!$F$12:$F$16,$A65)*1)</f>
        <v>0</v>
      </c>
      <c r="F65" s="15">
        <f>IF($A65="",0,COUNTIF('Sprint W4'!$B$12:$B$16,$A65)*5+COUNTIF('Sprint W4'!$C$12:$C$16,$A65)*4+COUNTIF('Sprint W4'!$D$12:$D$16,$A65)*3+COUNTIF('Sprint W4'!$E$12:$E$16,$A65)*2+COUNTIF('Sprint W4'!$F$12:$F$16,$A65)*1)</f>
        <v>0</v>
      </c>
      <c r="G65" s="15">
        <f>IF($A65="",0,COUNTIF('Sprint W5'!$B$12:$B$16,$A65)*5+COUNTIF('Sprint W5'!$C$12:$C$16,$A65)*4+COUNTIF('Sprint W5'!$D$12:$D$16,$A65)*3+COUNTIF('Sprint W5'!$E$12:$E$16,$A65)*2+COUNTIF('Sprint W5'!$F$12:$F$16,$A65)*1)</f>
        <v>0</v>
      </c>
      <c r="H65" s="25" t="str">
        <f t="shared" si="2"/>
        <v/>
      </c>
      <c r="I65" s="26" t="str">
        <f t="shared" si="3"/>
        <v/>
      </c>
      <c r="AA65" t="str">
        <f>'Sprint W3'!F14</f>
        <v>Dennis Gerressen</v>
      </c>
      <c r="AB65">
        <f>IF(AA65="",0,IF(COUNTIF($AA$1:AA65,AA65)=1,1,0))</f>
        <v>1</v>
      </c>
      <c r="AC65">
        <f>IF(AB65=1,COUNTIF($AB$1:AB65,1),"")</f>
        <v>10</v>
      </c>
    </row>
    <row r="66" spans="1:29" x14ac:dyDescent="0.25">
      <c r="A66" s="13" t="str">
        <f>IFERROR(INDEX($AA$1:$AA$125,MATCH(63,$AC$1:$AC$125,0)),"")</f>
        <v/>
      </c>
      <c r="B66" s="33"/>
      <c r="C66" s="15">
        <f>IF($A66="",0,COUNTIF('Sprint W1'!$B$12:$B$16,$A66)*5+COUNTIF('Sprint W1'!$C$12:$C$16,$A66)*4+COUNTIF('Sprint W1'!$D$12:$D$16,$A66)*3+COUNTIF('Sprint W1'!$E$12:$E$16,$A66)*2+COUNTIF('Sprint W1'!$F$12:$F$16,$A66)*1)</f>
        <v>0</v>
      </c>
      <c r="D66" s="15">
        <f>IF($A66="",0,COUNTIF('Sprint W2'!$B$12:$B$16,$A66)*5+COUNTIF('Sprint W2'!$C$12:$C$16,$A66)*4+COUNTIF('Sprint W2'!$D$12:$D$16,$A66)*3+COUNTIF('Sprint W2'!$E$12:$E$16,$A66)*2+COUNTIF('Sprint W2'!$F$12:$F$16,$A66)*1)</f>
        <v>0</v>
      </c>
      <c r="E66" s="15">
        <f>IF($A66="",0,COUNTIF('Sprint W3'!$B$12:$B$16,$A66)*5+COUNTIF('Sprint W3'!$C$12:$C$16,$A66)*4+COUNTIF('Sprint W3'!$D$12:$D$16,$A66)*3+COUNTIF('Sprint W3'!$E$12:$E$16,$A66)*2+COUNTIF('Sprint W3'!$F$12:$F$16,$A66)*1)</f>
        <v>0</v>
      </c>
      <c r="F66" s="15">
        <f>IF($A66="",0,COUNTIF('Sprint W4'!$B$12:$B$16,$A66)*5+COUNTIF('Sprint W4'!$C$12:$C$16,$A66)*4+COUNTIF('Sprint W4'!$D$12:$D$16,$A66)*3+COUNTIF('Sprint W4'!$E$12:$E$16,$A66)*2+COUNTIF('Sprint W4'!$F$12:$F$16,$A66)*1)</f>
        <v>0</v>
      </c>
      <c r="G66" s="15">
        <f>IF($A66="",0,COUNTIF('Sprint W5'!$B$12:$B$16,$A66)*5+COUNTIF('Sprint W5'!$C$12:$C$16,$A66)*4+COUNTIF('Sprint W5'!$D$12:$D$16,$A66)*3+COUNTIF('Sprint W5'!$E$12:$E$16,$A66)*2+COUNTIF('Sprint W5'!$F$12:$F$16,$A66)*1)</f>
        <v>0</v>
      </c>
      <c r="H66" s="25" t="str">
        <f t="shared" si="2"/>
        <v/>
      </c>
      <c r="I66" s="26" t="str">
        <f t="shared" si="3"/>
        <v/>
      </c>
      <c r="AA66" t="str">
        <f>'Sprint W3'!B15</f>
        <v>Floris Pennings</v>
      </c>
      <c r="AB66">
        <f>IF(AA66="",0,IF(COUNTIF($AA$1:AA66,AA66)=1,1,0))</f>
        <v>0</v>
      </c>
      <c r="AC66" t="str">
        <f>IF(AB66=1,COUNTIF($AB$1:AB66,1),"")</f>
        <v/>
      </c>
    </row>
    <row r="67" spans="1:29" x14ac:dyDescent="0.25">
      <c r="A67" s="13" t="str">
        <f>IFERROR(INDEX($AA$1:$AA$125,MATCH(64,$AC$1:$AC$125,0)),"")</f>
        <v/>
      </c>
      <c r="B67" s="33"/>
      <c r="C67" s="15">
        <f>IF($A67="",0,COUNTIF('Sprint W1'!$B$12:$B$16,$A67)*5+COUNTIF('Sprint W1'!$C$12:$C$16,$A67)*4+COUNTIF('Sprint W1'!$D$12:$D$16,$A67)*3+COUNTIF('Sprint W1'!$E$12:$E$16,$A67)*2+COUNTIF('Sprint W1'!$F$12:$F$16,$A67)*1)</f>
        <v>0</v>
      </c>
      <c r="D67" s="15">
        <f>IF($A67="",0,COUNTIF('Sprint W2'!$B$12:$B$16,$A67)*5+COUNTIF('Sprint W2'!$C$12:$C$16,$A67)*4+COUNTIF('Sprint W2'!$D$12:$D$16,$A67)*3+COUNTIF('Sprint W2'!$E$12:$E$16,$A67)*2+COUNTIF('Sprint W2'!$F$12:$F$16,$A67)*1)</f>
        <v>0</v>
      </c>
      <c r="E67" s="15">
        <f>IF($A67="",0,COUNTIF('Sprint W3'!$B$12:$B$16,$A67)*5+COUNTIF('Sprint W3'!$C$12:$C$16,$A67)*4+COUNTIF('Sprint W3'!$D$12:$D$16,$A67)*3+COUNTIF('Sprint W3'!$E$12:$E$16,$A67)*2+COUNTIF('Sprint W3'!$F$12:$F$16,$A67)*1)</f>
        <v>0</v>
      </c>
      <c r="F67" s="15">
        <f>IF($A67="",0,COUNTIF('Sprint W4'!$B$12:$B$16,$A67)*5+COUNTIF('Sprint W4'!$C$12:$C$16,$A67)*4+COUNTIF('Sprint W4'!$D$12:$D$16,$A67)*3+COUNTIF('Sprint W4'!$E$12:$E$16,$A67)*2+COUNTIF('Sprint W4'!$F$12:$F$16,$A67)*1)</f>
        <v>0</v>
      </c>
      <c r="G67" s="15">
        <f>IF($A67="",0,COUNTIF('Sprint W5'!$B$12:$B$16,$A67)*5+COUNTIF('Sprint W5'!$C$12:$C$16,$A67)*4+COUNTIF('Sprint W5'!$D$12:$D$16,$A67)*3+COUNTIF('Sprint W5'!$E$12:$E$16,$A67)*2+COUNTIF('Sprint W5'!$F$12:$F$16,$A67)*1)</f>
        <v>0</v>
      </c>
      <c r="H67" s="25" t="str">
        <f t="shared" si="2"/>
        <v/>
      </c>
      <c r="I67" s="26" t="str">
        <f t="shared" si="3"/>
        <v/>
      </c>
      <c r="AA67" t="str">
        <f>'Sprint W3'!C15</f>
        <v>Stephan Schipper</v>
      </c>
      <c r="AB67">
        <f>IF(AA67="",0,IF(COUNTIF($AA$1:AA67,AA67)=1,1,0))</f>
        <v>0</v>
      </c>
      <c r="AC67" t="str">
        <f>IF(AB67=1,COUNTIF($AB$1:AB67,1),"")</f>
        <v/>
      </c>
    </row>
    <row r="68" spans="1:29" x14ac:dyDescent="0.25">
      <c r="A68" s="13" t="str">
        <f>IFERROR(INDEX($AA$1:$AA$125,MATCH(65,$AC$1:$AC$125,0)),"")</f>
        <v/>
      </c>
      <c r="B68" s="33"/>
      <c r="C68" s="15">
        <f>IF($A68="",0,COUNTIF('Sprint W1'!$B$12:$B$16,$A68)*5+COUNTIF('Sprint W1'!$C$12:$C$16,$A68)*4+COUNTIF('Sprint W1'!$D$12:$D$16,$A68)*3+COUNTIF('Sprint W1'!$E$12:$E$16,$A68)*2+COUNTIF('Sprint W1'!$F$12:$F$16,$A68)*1)</f>
        <v>0</v>
      </c>
      <c r="D68" s="15">
        <f>IF($A68="",0,COUNTIF('Sprint W2'!$B$12:$B$16,$A68)*5+COUNTIF('Sprint W2'!$C$12:$C$16,$A68)*4+COUNTIF('Sprint W2'!$D$12:$D$16,$A68)*3+COUNTIF('Sprint W2'!$E$12:$E$16,$A68)*2+COUNTIF('Sprint W2'!$F$12:$F$16,$A68)*1)</f>
        <v>0</v>
      </c>
      <c r="E68" s="15">
        <f>IF($A68="",0,COUNTIF('Sprint W3'!$B$12:$B$16,$A68)*5+COUNTIF('Sprint W3'!$C$12:$C$16,$A68)*4+COUNTIF('Sprint W3'!$D$12:$D$16,$A68)*3+COUNTIF('Sprint W3'!$E$12:$E$16,$A68)*2+COUNTIF('Sprint W3'!$F$12:$F$16,$A68)*1)</f>
        <v>0</v>
      </c>
      <c r="F68" s="15">
        <f>IF($A68="",0,COUNTIF('Sprint W4'!$B$12:$B$16,$A68)*5+COUNTIF('Sprint W4'!$C$12:$C$16,$A68)*4+COUNTIF('Sprint W4'!$D$12:$D$16,$A68)*3+COUNTIF('Sprint W4'!$E$12:$E$16,$A68)*2+COUNTIF('Sprint W4'!$F$12:$F$16,$A68)*1)</f>
        <v>0</v>
      </c>
      <c r="G68" s="15">
        <f>IF($A68="",0,COUNTIF('Sprint W5'!$B$12:$B$16,$A68)*5+COUNTIF('Sprint W5'!$C$12:$C$16,$A68)*4+COUNTIF('Sprint W5'!$D$12:$D$16,$A68)*3+COUNTIF('Sprint W5'!$E$12:$E$16,$A68)*2+COUNTIF('Sprint W5'!$F$12:$F$16,$A68)*1)</f>
        <v>0</v>
      </c>
      <c r="H68" s="25" t="str">
        <f t="shared" ref="H68:H99" si="4">IF($A68="","",C68+D68+E68+F68+G68)</f>
        <v/>
      </c>
      <c r="I68" s="26" t="str">
        <f t="shared" ref="I68:I99" si="5">IF(OR($A68="",H68="",H68=0),"",RANK(H68,$H$4:$H$103,0))</f>
        <v/>
      </c>
      <c r="AA68" t="str">
        <f>'Sprint W3'!D15</f>
        <v>Douwe Beukers</v>
      </c>
      <c r="AB68">
        <f>IF(AA68="",0,IF(COUNTIF($AA$1:AA68,AA68)=1,1,0))</f>
        <v>0</v>
      </c>
      <c r="AC68" t="str">
        <f>IF(AB68=1,COUNTIF($AB$1:AB68,1),"")</f>
        <v/>
      </c>
    </row>
    <row r="69" spans="1:29" x14ac:dyDescent="0.25">
      <c r="A69" s="13" t="str">
        <f>IFERROR(INDEX($AA$1:$AA$125,MATCH(66,$AC$1:$AC$125,0)),"")</f>
        <v/>
      </c>
      <c r="B69" s="33"/>
      <c r="C69" s="15">
        <f>IF($A69="",0,COUNTIF('Sprint W1'!$B$12:$B$16,$A69)*5+COUNTIF('Sprint W1'!$C$12:$C$16,$A69)*4+COUNTIF('Sprint W1'!$D$12:$D$16,$A69)*3+COUNTIF('Sprint W1'!$E$12:$E$16,$A69)*2+COUNTIF('Sprint W1'!$F$12:$F$16,$A69)*1)</f>
        <v>0</v>
      </c>
      <c r="D69" s="15">
        <f>IF($A69="",0,COUNTIF('Sprint W2'!$B$12:$B$16,$A69)*5+COUNTIF('Sprint W2'!$C$12:$C$16,$A69)*4+COUNTIF('Sprint W2'!$D$12:$D$16,$A69)*3+COUNTIF('Sprint W2'!$E$12:$E$16,$A69)*2+COUNTIF('Sprint W2'!$F$12:$F$16,$A69)*1)</f>
        <v>0</v>
      </c>
      <c r="E69" s="15">
        <f>IF($A69="",0,COUNTIF('Sprint W3'!$B$12:$B$16,$A69)*5+COUNTIF('Sprint W3'!$C$12:$C$16,$A69)*4+COUNTIF('Sprint W3'!$D$12:$D$16,$A69)*3+COUNTIF('Sprint W3'!$E$12:$E$16,$A69)*2+COUNTIF('Sprint W3'!$F$12:$F$16,$A69)*1)</f>
        <v>0</v>
      </c>
      <c r="F69" s="15">
        <f>IF($A69="",0,COUNTIF('Sprint W4'!$B$12:$B$16,$A69)*5+COUNTIF('Sprint W4'!$C$12:$C$16,$A69)*4+COUNTIF('Sprint W4'!$D$12:$D$16,$A69)*3+COUNTIF('Sprint W4'!$E$12:$E$16,$A69)*2+COUNTIF('Sprint W4'!$F$12:$F$16,$A69)*1)</f>
        <v>0</v>
      </c>
      <c r="G69" s="15">
        <f>IF($A69="",0,COUNTIF('Sprint W5'!$B$12:$B$16,$A69)*5+COUNTIF('Sprint W5'!$C$12:$C$16,$A69)*4+COUNTIF('Sprint W5'!$D$12:$D$16,$A69)*3+COUNTIF('Sprint W5'!$E$12:$E$16,$A69)*2+COUNTIF('Sprint W5'!$F$12:$F$16,$A69)*1)</f>
        <v>0</v>
      </c>
      <c r="H69" s="25" t="str">
        <f t="shared" si="4"/>
        <v/>
      </c>
      <c r="I69" s="26" t="str">
        <f t="shared" si="5"/>
        <v/>
      </c>
      <c r="AA69" t="str">
        <f>'Sprint W3'!E15</f>
        <v>Steven van der Wilk</v>
      </c>
      <c r="AB69">
        <f>IF(AA69="",0,IF(COUNTIF($AA$1:AA69,AA69)=1,1,0))</f>
        <v>0</v>
      </c>
      <c r="AC69" t="str">
        <f>IF(AB69=1,COUNTIF($AB$1:AB69,1),"")</f>
        <v/>
      </c>
    </row>
    <row r="70" spans="1:29" x14ac:dyDescent="0.25">
      <c r="A70" s="13" t="str">
        <f>IFERROR(INDEX($AA$1:$AA$125,MATCH(67,$AC$1:$AC$125,0)),"")</f>
        <v/>
      </c>
      <c r="B70" s="33"/>
      <c r="C70" s="15">
        <f>IF($A70="",0,COUNTIF('Sprint W1'!$B$12:$B$16,$A70)*5+COUNTIF('Sprint W1'!$C$12:$C$16,$A70)*4+COUNTIF('Sprint W1'!$D$12:$D$16,$A70)*3+COUNTIF('Sprint W1'!$E$12:$E$16,$A70)*2+COUNTIF('Sprint W1'!$F$12:$F$16,$A70)*1)</f>
        <v>0</v>
      </c>
      <c r="D70" s="15">
        <f>IF($A70="",0,COUNTIF('Sprint W2'!$B$12:$B$16,$A70)*5+COUNTIF('Sprint W2'!$C$12:$C$16,$A70)*4+COUNTIF('Sprint W2'!$D$12:$D$16,$A70)*3+COUNTIF('Sprint W2'!$E$12:$E$16,$A70)*2+COUNTIF('Sprint W2'!$F$12:$F$16,$A70)*1)</f>
        <v>0</v>
      </c>
      <c r="E70" s="15">
        <f>IF($A70="",0,COUNTIF('Sprint W3'!$B$12:$B$16,$A70)*5+COUNTIF('Sprint W3'!$C$12:$C$16,$A70)*4+COUNTIF('Sprint W3'!$D$12:$D$16,$A70)*3+COUNTIF('Sprint W3'!$E$12:$E$16,$A70)*2+COUNTIF('Sprint W3'!$F$12:$F$16,$A70)*1)</f>
        <v>0</v>
      </c>
      <c r="F70" s="15">
        <f>IF($A70="",0,COUNTIF('Sprint W4'!$B$12:$B$16,$A70)*5+COUNTIF('Sprint W4'!$C$12:$C$16,$A70)*4+COUNTIF('Sprint W4'!$D$12:$D$16,$A70)*3+COUNTIF('Sprint W4'!$E$12:$E$16,$A70)*2+COUNTIF('Sprint W4'!$F$12:$F$16,$A70)*1)</f>
        <v>0</v>
      </c>
      <c r="G70" s="15">
        <f>IF($A70="",0,COUNTIF('Sprint W5'!$B$12:$B$16,$A70)*5+COUNTIF('Sprint W5'!$C$12:$C$16,$A70)*4+COUNTIF('Sprint W5'!$D$12:$D$16,$A70)*3+COUNTIF('Sprint W5'!$E$12:$E$16,$A70)*2+COUNTIF('Sprint W5'!$F$12:$F$16,$A70)*1)</f>
        <v>0</v>
      </c>
      <c r="H70" s="25" t="str">
        <f t="shared" si="4"/>
        <v/>
      </c>
      <c r="I70" s="26" t="str">
        <f t="shared" si="5"/>
        <v/>
      </c>
      <c r="AA70" t="str">
        <f>'Sprint W3'!F15</f>
        <v>Dennis Gerressen</v>
      </c>
      <c r="AB70">
        <f>IF(AA70="",0,IF(COUNTIF($AA$1:AA70,AA70)=1,1,0))</f>
        <v>0</v>
      </c>
      <c r="AC70" t="str">
        <f>IF(AB70=1,COUNTIF($AB$1:AB70,1),"")</f>
        <v/>
      </c>
    </row>
    <row r="71" spans="1:29" x14ac:dyDescent="0.25">
      <c r="A71" s="13" t="str">
        <f>IFERROR(INDEX($AA$1:$AA$125,MATCH(68,$AC$1:$AC$125,0)),"")</f>
        <v/>
      </c>
      <c r="B71" s="33"/>
      <c r="C71" s="15">
        <f>IF($A71="",0,COUNTIF('Sprint W1'!$B$12:$B$16,$A71)*5+COUNTIF('Sprint W1'!$C$12:$C$16,$A71)*4+COUNTIF('Sprint W1'!$D$12:$D$16,$A71)*3+COUNTIF('Sprint W1'!$E$12:$E$16,$A71)*2+COUNTIF('Sprint W1'!$F$12:$F$16,$A71)*1)</f>
        <v>0</v>
      </c>
      <c r="D71" s="15">
        <f>IF($A71="",0,COUNTIF('Sprint W2'!$B$12:$B$16,$A71)*5+COUNTIF('Sprint W2'!$C$12:$C$16,$A71)*4+COUNTIF('Sprint W2'!$D$12:$D$16,$A71)*3+COUNTIF('Sprint W2'!$E$12:$E$16,$A71)*2+COUNTIF('Sprint W2'!$F$12:$F$16,$A71)*1)</f>
        <v>0</v>
      </c>
      <c r="E71" s="15">
        <f>IF($A71="",0,COUNTIF('Sprint W3'!$B$12:$B$16,$A71)*5+COUNTIF('Sprint W3'!$C$12:$C$16,$A71)*4+COUNTIF('Sprint W3'!$D$12:$D$16,$A71)*3+COUNTIF('Sprint W3'!$E$12:$E$16,$A71)*2+COUNTIF('Sprint W3'!$F$12:$F$16,$A71)*1)</f>
        <v>0</v>
      </c>
      <c r="F71" s="15">
        <f>IF($A71="",0,COUNTIF('Sprint W4'!$B$12:$B$16,$A71)*5+COUNTIF('Sprint W4'!$C$12:$C$16,$A71)*4+COUNTIF('Sprint W4'!$D$12:$D$16,$A71)*3+COUNTIF('Sprint W4'!$E$12:$E$16,$A71)*2+COUNTIF('Sprint W4'!$F$12:$F$16,$A71)*1)</f>
        <v>0</v>
      </c>
      <c r="G71" s="15">
        <f>IF($A71="",0,COUNTIF('Sprint W5'!$B$12:$B$16,$A71)*5+COUNTIF('Sprint W5'!$C$12:$C$16,$A71)*4+COUNTIF('Sprint W5'!$D$12:$D$16,$A71)*3+COUNTIF('Sprint W5'!$E$12:$E$16,$A71)*2+COUNTIF('Sprint W5'!$F$12:$F$16,$A71)*1)</f>
        <v>0</v>
      </c>
      <c r="H71" s="25" t="str">
        <f t="shared" si="4"/>
        <v/>
      </c>
      <c r="I71" s="26" t="str">
        <f t="shared" si="5"/>
        <v/>
      </c>
      <c r="AA71">
        <f>'Sprint W3'!B16</f>
        <v>0</v>
      </c>
      <c r="AB71">
        <f>IF(AA71="",0,IF(COUNTIF($AA$1:AA71,AA71)=1,1,0))</f>
        <v>0</v>
      </c>
      <c r="AC71" t="str">
        <f>IF(AB71=1,COUNTIF($AB$1:AB71,1),"")</f>
        <v/>
      </c>
    </row>
    <row r="72" spans="1:29" x14ac:dyDescent="0.25">
      <c r="A72" s="13" t="str">
        <f>IFERROR(INDEX($AA$1:$AA$125,MATCH(69,$AC$1:$AC$125,0)),"")</f>
        <v/>
      </c>
      <c r="B72" s="33"/>
      <c r="C72" s="15">
        <f>IF($A72="",0,COUNTIF('Sprint W1'!$B$12:$B$16,$A72)*5+COUNTIF('Sprint W1'!$C$12:$C$16,$A72)*4+COUNTIF('Sprint W1'!$D$12:$D$16,$A72)*3+COUNTIF('Sprint W1'!$E$12:$E$16,$A72)*2+COUNTIF('Sprint W1'!$F$12:$F$16,$A72)*1)</f>
        <v>0</v>
      </c>
      <c r="D72" s="15">
        <f>IF($A72="",0,COUNTIF('Sprint W2'!$B$12:$B$16,$A72)*5+COUNTIF('Sprint W2'!$C$12:$C$16,$A72)*4+COUNTIF('Sprint W2'!$D$12:$D$16,$A72)*3+COUNTIF('Sprint W2'!$E$12:$E$16,$A72)*2+COUNTIF('Sprint W2'!$F$12:$F$16,$A72)*1)</f>
        <v>0</v>
      </c>
      <c r="E72" s="15">
        <f>IF($A72="",0,COUNTIF('Sprint W3'!$B$12:$B$16,$A72)*5+COUNTIF('Sprint W3'!$C$12:$C$16,$A72)*4+COUNTIF('Sprint W3'!$D$12:$D$16,$A72)*3+COUNTIF('Sprint W3'!$E$12:$E$16,$A72)*2+COUNTIF('Sprint W3'!$F$12:$F$16,$A72)*1)</f>
        <v>0</v>
      </c>
      <c r="F72" s="15">
        <f>IF($A72="",0,COUNTIF('Sprint W4'!$B$12:$B$16,$A72)*5+COUNTIF('Sprint W4'!$C$12:$C$16,$A72)*4+COUNTIF('Sprint W4'!$D$12:$D$16,$A72)*3+COUNTIF('Sprint W4'!$E$12:$E$16,$A72)*2+COUNTIF('Sprint W4'!$F$12:$F$16,$A72)*1)</f>
        <v>0</v>
      </c>
      <c r="G72" s="15">
        <f>IF($A72="",0,COUNTIF('Sprint W5'!$B$12:$B$16,$A72)*5+COUNTIF('Sprint W5'!$C$12:$C$16,$A72)*4+COUNTIF('Sprint W5'!$D$12:$D$16,$A72)*3+COUNTIF('Sprint W5'!$E$12:$E$16,$A72)*2+COUNTIF('Sprint W5'!$F$12:$F$16,$A72)*1)</f>
        <v>0</v>
      </c>
      <c r="H72" s="25" t="str">
        <f t="shared" si="4"/>
        <v/>
      </c>
      <c r="I72" s="26" t="str">
        <f t="shared" si="5"/>
        <v/>
      </c>
      <c r="AA72">
        <f>'Sprint W3'!C16</f>
        <v>0</v>
      </c>
      <c r="AB72">
        <f>IF(AA72="",0,IF(COUNTIF($AA$1:AA72,AA72)=1,1,0))</f>
        <v>0</v>
      </c>
      <c r="AC72" t="str">
        <f>IF(AB72=1,COUNTIF($AB$1:AB72,1),"")</f>
        <v/>
      </c>
    </row>
    <row r="73" spans="1:29" x14ac:dyDescent="0.25">
      <c r="A73" s="13" t="str">
        <f>IFERROR(INDEX($AA$1:$AA$125,MATCH(70,$AC$1:$AC$125,0)),"")</f>
        <v/>
      </c>
      <c r="B73" s="33"/>
      <c r="C73" s="15">
        <f>IF($A73="",0,COUNTIF('Sprint W1'!$B$12:$B$16,$A73)*5+COUNTIF('Sprint W1'!$C$12:$C$16,$A73)*4+COUNTIF('Sprint W1'!$D$12:$D$16,$A73)*3+COUNTIF('Sprint W1'!$E$12:$E$16,$A73)*2+COUNTIF('Sprint W1'!$F$12:$F$16,$A73)*1)</f>
        <v>0</v>
      </c>
      <c r="D73" s="15">
        <f>IF($A73="",0,COUNTIF('Sprint W2'!$B$12:$B$16,$A73)*5+COUNTIF('Sprint W2'!$C$12:$C$16,$A73)*4+COUNTIF('Sprint W2'!$D$12:$D$16,$A73)*3+COUNTIF('Sprint W2'!$E$12:$E$16,$A73)*2+COUNTIF('Sprint W2'!$F$12:$F$16,$A73)*1)</f>
        <v>0</v>
      </c>
      <c r="E73" s="15">
        <f>IF($A73="",0,COUNTIF('Sprint W3'!$B$12:$B$16,$A73)*5+COUNTIF('Sprint W3'!$C$12:$C$16,$A73)*4+COUNTIF('Sprint W3'!$D$12:$D$16,$A73)*3+COUNTIF('Sprint W3'!$E$12:$E$16,$A73)*2+COUNTIF('Sprint W3'!$F$12:$F$16,$A73)*1)</f>
        <v>0</v>
      </c>
      <c r="F73" s="15">
        <f>IF($A73="",0,COUNTIF('Sprint W4'!$B$12:$B$16,$A73)*5+COUNTIF('Sprint W4'!$C$12:$C$16,$A73)*4+COUNTIF('Sprint W4'!$D$12:$D$16,$A73)*3+COUNTIF('Sprint W4'!$E$12:$E$16,$A73)*2+COUNTIF('Sprint W4'!$F$12:$F$16,$A73)*1)</f>
        <v>0</v>
      </c>
      <c r="G73" s="15">
        <f>IF($A73="",0,COUNTIF('Sprint W5'!$B$12:$B$16,$A73)*5+COUNTIF('Sprint W5'!$C$12:$C$16,$A73)*4+COUNTIF('Sprint W5'!$D$12:$D$16,$A73)*3+COUNTIF('Sprint W5'!$E$12:$E$16,$A73)*2+COUNTIF('Sprint W5'!$F$12:$F$16,$A73)*1)</f>
        <v>0</v>
      </c>
      <c r="H73" s="25" t="str">
        <f t="shared" si="4"/>
        <v/>
      </c>
      <c r="I73" s="26" t="str">
        <f t="shared" si="5"/>
        <v/>
      </c>
      <c r="AA73">
        <f>'Sprint W3'!D16</f>
        <v>0</v>
      </c>
      <c r="AB73">
        <f>IF(AA73="",0,IF(COUNTIF($AA$1:AA73,AA73)=1,1,0))</f>
        <v>0</v>
      </c>
      <c r="AC73" t="str">
        <f>IF(AB73=1,COUNTIF($AB$1:AB73,1),"")</f>
        <v/>
      </c>
    </row>
    <row r="74" spans="1:29" x14ac:dyDescent="0.25">
      <c r="A74" s="13" t="str">
        <f>IFERROR(INDEX($AA$1:$AA$125,MATCH(71,$AC$1:$AC$125,0)),"")</f>
        <v/>
      </c>
      <c r="B74" s="33"/>
      <c r="C74" s="15">
        <f>IF($A74="",0,COUNTIF('Sprint W1'!$B$12:$B$16,$A74)*5+COUNTIF('Sprint W1'!$C$12:$C$16,$A74)*4+COUNTIF('Sprint W1'!$D$12:$D$16,$A74)*3+COUNTIF('Sprint W1'!$E$12:$E$16,$A74)*2+COUNTIF('Sprint W1'!$F$12:$F$16,$A74)*1)</f>
        <v>0</v>
      </c>
      <c r="D74" s="15">
        <f>IF($A74="",0,COUNTIF('Sprint W2'!$B$12:$B$16,$A74)*5+COUNTIF('Sprint W2'!$C$12:$C$16,$A74)*4+COUNTIF('Sprint W2'!$D$12:$D$16,$A74)*3+COUNTIF('Sprint W2'!$E$12:$E$16,$A74)*2+COUNTIF('Sprint W2'!$F$12:$F$16,$A74)*1)</f>
        <v>0</v>
      </c>
      <c r="E74" s="15">
        <f>IF($A74="",0,COUNTIF('Sprint W3'!$B$12:$B$16,$A74)*5+COUNTIF('Sprint W3'!$C$12:$C$16,$A74)*4+COUNTIF('Sprint W3'!$D$12:$D$16,$A74)*3+COUNTIF('Sprint W3'!$E$12:$E$16,$A74)*2+COUNTIF('Sprint W3'!$F$12:$F$16,$A74)*1)</f>
        <v>0</v>
      </c>
      <c r="F74" s="15">
        <f>IF($A74="",0,COUNTIF('Sprint W4'!$B$12:$B$16,$A74)*5+COUNTIF('Sprint W4'!$C$12:$C$16,$A74)*4+COUNTIF('Sprint W4'!$D$12:$D$16,$A74)*3+COUNTIF('Sprint W4'!$E$12:$E$16,$A74)*2+COUNTIF('Sprint W4'!$F$12:$F$16,$A74)*1)</f>
        <v>0</v>
      </c>
      <c r="G74" s="15">
        <f>IF($A74="",0,COUNTIF('Sprint W5'!$B$12:$B$16,$A74)*5+COUNTIF('Sprint W5'!$C$12:$C$16,$A74)*4+COUNTIF('Sprint W5'!$D$12:$D$16,$A74)*3+COUNTIF('Sprint W5'!$E$12:$E$16,$A74)*2+COUNTIF('Sprint W5'!$F$12:$F$16,$A74)*1)</f>
        <v>0</v>
      </c>
      <c r="H74" s="25" t="str">
        <f t="shared" si="4"/>
        <v/>
      </c>
      <c r="I74" s="26" t="str">
        <f t="shared" si="5"/>
        <v/>
      </c>
      <c r="AA74">
        <f>'Sprint W3'!E16</f>
        <v>0</v>
      </c>
      <c r="AB74">
        <f>IF(AA74="",0,IF(COUNTIF($AA$1:AA74,AA74)=1,1,0))</f>
        <v>0</v>
      </c>
      <c r="AC74" t="str">
        <f>IF(AB74=1,COUNTIF($AB$1:AB74,1),"")</f>
        <v/>
      </c>
    </row>
    <row r="75" spans="1:29" x14ac:dyDescent="0.25">
      <c r="A75" s="13" t="str">
        <f>IFERROR(INDEX($AA$1:$AA$125,MATCH(72,$AC$1:$AC$125,0)),"")</f>
        <v/>
      </c>
      <c r="B75" s="33"/>
      <c r="C75" s="15">
        <f>IF($A75="",0,COUNTIF('Sprint W1'!$B$12:$B$16,$A75)*5+COUNTIF('Sprint W1'!$C$12:$C$16,$A75)*4+COUNTIF('Sprint W1'!$D$12:$D$16,$A75)*3+COUNTIF('Sprint W1'!$E$12:$E$16,$A75)*2+COUNTIF('Sprint W1'!$F$12:$F$16,$A75)*1)</f>
        <v>0</v>
      </c>
      <c r="D75" s="15">
        <f>IF($A75="",0,COUNTIF('Sprint W2'!$B$12:$B$16,$A75)*5+COUNTIF('Sprint W2'!$C$12:$C$16,$A75)*4+COUNTIF('Sprint W2'!$D$12:$D$16,$A75)*3+COUNTIF('Sprint W2'!$E$12:$E$16,$A75)*2+COUNTIF('Sprint W2'!$F$12:$F$16,$A75)*1)</f>
        <v>0</v>
      </c>
      <c r="E75" s="15">
        <f>IF($A75="",0,COUNTIF('Sprint W3'!$B$12:$B$16,$A75)*5+COUNTIF('Sprint W3'!$C$12:$C$16,$A75)*4+COUNTIF('Sprint W3'!$D$12:$D$16,$A75)*3+COUNTIF('Sprint W3'!$E$12:$E$16,$A75)*2+COUNTIF('Sprint W3'!$F$12:$F$16,$A75)*1)</f>
        <v>0</v>
      </c>
      <c r="F75" s="15">
        <f>IF($A75="",0,COUNTIF('Sprint W4'!$B$12:$B$16,$A75)*5+COUNTIF('Sprint W4'!$C$12:$C$16,$A75)*4+COUNTIF('Sprint W4'!$D$12:$D$16,$A75)*3+COUNTIF('Sprint W4'!$E$12:$E$16,$A75)*2+COUNTIF('Sprint W4'!$F$12:$F$16,$A75)*1)</f>
        <v>0</v>
      </c>
      <c r="G75" s="15">
        <f>IF($A75="",0,COUNTIF('Sprint W5'!$B$12:$B$16,$A75)*5+COUNTIF('Sprint W5'!$C$12:$C$16,$A75)*4+COUNTIF('Sprint W5'!$D$12:$D$16,$A75)*3+COUNTIF('Sprint W5'!$E$12:$E$16,$A75)*2+COUNTIF('Sprint W5'!$F$12:$F$16,$A75)*1)</f>
        <v>0</v>
      </c>
      <c r="H75" s="25" t="str">
        <f t="shared" si="4"/>
        <v/>
      </c>
      <c r="I75" s="26" t="str">
        <f t="shared" si="5"/>
        <v/>
      </c>
      <c r="AA75">
        <f>'Sprint W3'!F16</f>
        <v>0</v>
      </c>
      <c r="AB75">
        <f>IF(AA75="",0,IF(COUNTIF($AA$1:AA75,AA75)=1,1,0))</f>
        <v>0</v>
      </c>
      <c r="AC75" t="str">
        <f>IF(AB75=1,COUNTIF($AB$1:AB75,1),"")</f>
        <v/>
      </c>
    </row>
    <row r="76" spans="1:29" x14ac:dyDescent="0.25">
      <c r="A76" s="13" t="str">
        <f>IFERROR(INDEX($AA$1:$AA$125,MATCH(73,$AC$1:$AC$125,0)),"")</f>
        <v/>
      </c>
      <c r="B76" s="33"/>
      <c r="C76" s="15">
        <f>IF($A76="",0,COUNTIF('Sprint W1'!$B$12:$B$16,$A76)*5+COUNTIF('Sprint W1'!$C$12:$C$16,$A76)*4+COUNTIF('Sprint W1'!$D$12:$D$16,$A76)*3+COUNTIF('Sprint W1'!$E$12:$E$16,$A76)*2+COUNTIF('Sprint W1'!$F$12:$F$16,$A76)*1)</f>
        <v>0</v>
      </c>
      <c r="D76" s="15">
        <f>IF($A76="",0,COUNTIF('Sprint W2'!$B$12:$B$16,$A76)*5+COUNTIF('Sprint W2'!$C$12:$C$16,$A76)*4+COUNTIF('Sprint W2'!$D$12:$D$16,$A76)*3+COUNTIF('Sprint W2'!$E$12:$E$16,$A76)*2+COUNTIF('Sprint W2'!$F$12:$F$16,$A76)*1)</f>
        <v>0</v>
      </c>
      <c r="E76" s="15">
        <f>IF($A76="",0,COUNTIF('Sprint W3'!$B$12:$B$16,$A76)*5+COUNTIF('Sprint W3'!$C$12:$C$16,$A76)*4+COUNTIF('Sprint W3'!$D$12:$D$16,$A76)*3+COUNTIF('Sprint W3'!$E$12:$E$16,$A76)*2+COUNTIF('Sprint W3'!$F$12:$F$16,$A76)*1)</f>
        <v>0</v>
      </c>
      <c r="F76" s="15">
        <f>IF($A76="",0,COUNTIF('Sprint W4'!$B$12:$B$16,$A76)*5+COUNTIF('Sprint W4'!$C$12:$C$16,$A76)*4+COUNTIF('Sprint W4'!$D$12:$D$16,$A76)*3+COUNTIF('Sprint W4'!$E$12:$E$16,$A76)*2+COUNTIF('Sprint W4'!$F$12:$F$16,$A76)*1)</f>
        <v>0</v>
      </c>
      <c r="G76" s="15">
        <f>IF($A76="",0,COUNTIF('Sprint W5'!$B$12:$B$16,$A76)*5+COUNTIF('Sprint W5'!$C$12:$C$16,$A76)*4+COUNTIF('Sprint W5'!$D$12:$D$16,$A76)*3+COUNTIF('Sprint W5'!$E$12:$E$16,$A76)*2+COUNTIF('Sprint W5'!$F$12:$F$16,$A76)*1)</f>
        <v>0</v>
      </c>
      <c r="H76" s="25" t="str">
        <f t="shared" si="4"/>
        <v/>
      </c>
      <c r="I76" s="26" t="str">
        <f t="shared" si="5"/>
        <v/>
      </c>
      <c r="AA76">
        <f>'Sprint W4'!B12</f>
        <v>0</v>
      </c>
      <c r="AB76">
        <f>IF(AA76="",0,IF(COUNTIF($AA$1:AA76,AA76)=1,1,0))</f>
        <v>0</v>
      </c>
      <c r="AC76" t="str">
        <f>IF(AB76=1,COUNTIF($AB$1:AB76,1),"")</f>
        <v/>
      </c>
    </row>
    <row r="77" spans="1:29" x14ac:dyDescent="0.25">
      <c r="A77" s="13" t="str">
        <f>IFERROR(INDEX($AA$1:$AA$125,MATCH(74,$AC$1:$AC$125,0)),"")</f>
        <v/>
      </c>
      <c r="B77" s="33"/>
      <c r="C77" s="15">
        <f>IF($A77="",0,COUNTIF('Sprint W1'!$B$12:$B$16,$A77)*5+COUNTIF('Sprint W1'!$C$12:$C$16,$A77)*4+COUNTIF('Sprint W1'!$D$12:$D$16,$A77)*3+COUNTIF('Sprint W1'!$E$12:$E$16,$A77)*2+COUNTIF('Sprint W1'!$F$12:$F$16,$A77)*1)</f>
        <v>0</v>
      </c>
      <c r="D77" s="15">
        <f>IF($A77="",0,COUNTIF('Sprint W2'!$B$12:$B$16,$A77)*5+COUNTIF('Sprint W2'!$C$12:$C$16,$A77)*4+COUNTIF('Sprint W2'!$D$12:$D$16,$A77)*3+COUNTIF('Sprint W2'!$E$12:$E$16,$A77)*2+COUNTIF('Sprint W2'!$F$12:$F$16,$A77)*1)</f>
        <v>0</v>
      </c>
      <c r="E77" s="15">
        <f>IF($A77="",0,COUNTIF('Sprint W3'!$B$12:$B$16,$A77)*5+COUNTIF('Sprint W3'!$C$12:$C$16,$A77)*4+COUNTIF('Sprint W3'!$D$12:$D$16,$A77)*3+COUNTIF('Sprint W3'!$E$12:$E$16,$A77)*2+COUNTIF('Sprint W3'!$F$12:$F$16,$A77)*1)</f>
        <v>0</v>
      </c>
      <c r="F77" s="15">
        <f>IF($A77="",0,COUNTIF('Sprint W4'!$B$12:$B$16,$A77)*5+COUNTIF('Sprint W4'!$C$12:$C$16,$A77)*4+COUNTIF('Sprint W4'!$D$12:$D$16,$A77)*3+COUNTIF('Sprint W4'!$E$12:$E$16,$A77)*2+COUNTIF('Sprint W4'!$F$12:$F$16,$A77)*1)</f>
        <v>0</v>
      </c>
      <c r="G77" s="15">
        <f>IF($A77="",0,COUNTIF('Sprint W5'!$B$12:$B$16,$A77)*5+COUNTIF('Sprint W5'!$C$12:$C$16,$A77)*4+COUNTIF('Sprint W5'!$D$12:$D$16,$A77)*3+COUNTIF('Sprint W5'!$E$12:$E$16,$A77)*2+COUNTIF('Sprint W5'!$F$12:$F$16,$A77)*1)</f>
        <v>0</v>
      </c>
      <c r="H77" s="25" t="str">
        <f t="shared" si="4"/>
        <v/>
      </c>
      <c r="I77" s="26" t="str">
        <f t="shared" si="5"/>
        <v/>
      </c>
      <c r="AA77">
        <f>'Sprint W4'!C12</f>
        <v>0</v>
      </c>
      <c r="AB77">
        <f>IF(AA77="",0,IF(COUNTIF($AA$1:AA77,AA77)=1,1,0))</f>
        <v>0</v>
      </c>
      <c r="AC77" t="str">
        <f>IF(AB77=1,COUNTIF($AB$1:AB77,1),"")</f>
        <v/>
      </c>
    </row>
    <row r="78" spans="1:29" x14ac:dyDescent="0.25">
      <c r="A78" s="13" t="str">
        <f>IFERROR(INDEX($AA$1:$AA$125,MATCH(75,$AC$1:$AC$125,0)),"")</f>
        <v/>
      </c>
      <c r="B78" s="33"/>
      <c r="C78" s="15">
        <f>IF($A78="",0,COUNTIF('Sprint W1'!$B$12:$B$16,$A78)*5+COUNTIF('Sprint W1'!$C$12:$C$16,$A78)*4+COUNTIF('Sprint W1'!$D$12:$D$16,$A78)*3+COUNTIF('Sprint W1'!$E$12:$E$16,$A78)*2+COUNTIF('Sprint W1'!$F$12:$F$16,$A78)*1)</f>
        <v>0</v>
      </c>
      <c r="D78" s="15">
        <f>IF($A78="",0,COUNTIF('Sprint W2'!$B$12:$B$16,$A78)*5+COUNTIF('Sprint W2'!$C$12:$C$16,$A78)*4+COUNTIF('Sprint W2'!$D$12:$D$16,$A78)*3+COUNTIF('Sprint W2'!$E$12:$E$16,$A78)*2+COUNTIF('Sprint W2'!$F$12:$F$16,$A78)*1)</f>
        <v>0</v>
      </c>
      <c r="E78" s="15">
        <f>IF($A78="",0,COUNTIF('Sprint W3'!$B$12:$B$16,$A78)*5+COUNTIF('Sprint W3'!$C$12:$C$16,$A78)*4+COUNTIF('Sprint W3'!$D$12:$D$16,$A78)*3+COUNTIF('Sprint W3'!$E$12:$E$16,$A78)*2+COUNTIF('Sprint W3'!$F$12:$F$16,$A78)*1)</f>
        <v>0</v>
      </c>
      <c r="F78" s="15">
        <f>IF($A78="",0,COUNTIF('Sprint W4'!$B$12:$B$16,$A78)*5+COUNTIF('Sprint W4'!$C$12:$C$16,$A78)*4+COUNTIF('Sprint W4'!$D$12:$D$16,$A78)*3+COUNTIF('Sprint W4'!$E$12:$E$16,$A78)*2+COUNTIF('Sprint W4'!$F$12:$F$16,$A78)*1)</f>
        <v>0</v>
      </c>
      <c r="G78" s="15">
        <f>IF($A78="",0,COUNTIF('Sprint W5'!$B$12:$B$16,$A78)*5+COUNTIF('Sprint W5'!$C$12:$C$16,$A78)*4+COUNTIF('Sprint W5'!$D$12:$D$16,$A78)*3+COUNTIF('Sprint W5'!$E$12:$E$16,$A78)*2+COUNTIF('Sprint W5'!$F$12:$F$16,$A78)*1)</f>
        <v>0</v>
      </c>
      <c r="H78" s="25" t="str">
        <f t="shared" si="4"/>
        <v/>
      </c>
      <c r="I78" s="26" t="str">
        <f t="shared" si="5"/>
        <v/>
      </c>
      <c r="AA78">
        <f>'Sprint W4'!D12</f>
        <v>0</v>
      </c>
      <c r="AB78">
        <f>IF(AA78="",0,IF(COUNTIF($AA$1:AA78,AA78)=1,1,0))</f>
        <v>0</v>
      </c>
      <c r="AC78" t="str">
        <f>IF(AB78=1,COUNTIF($AB$1:AB78,1),"")</f>
        <v/>
      </c>
    </row>
    <row r="79" spans="1:29" x14ac:dyDescent="0.25">
      <c r="A79" s="13" t="str">
        <f>IFERROR(INDEX($AA$1:$AA$125,MATCH(76,$AC$1:$AC$125,0)),"")</f>
        <v/>
      </c>
      <c r="B79" s="33"/>
      <c r="C79" s="15">
        <f>IF($A79="",0,COUNTIF('Sprint W1'!$B$12:$B$16,$A79)*5+COUNTIF('Sprint W1'!$C$12:$C$16,$A79)*4+COUNTIF('Sprint W1'!$D$12:$D$16,$A79)*3+COUNTIF('Sprint W1'!$E$12:$E$16,$A79)*2+COUNTIF('Sprint W1'!$F$12:$F$16,$A79)*1)</f>
        <v>0</v>
      </c>
      <c r="D79" s="15">
        <f>IF($A79="",0,COUNTIF('Sprint W2'!$B$12:$B$16,$A79)*5+COUNTIF('Sprint W2'!$C$12:$C$16,$A79)*4+COUNTIF('Sprint W2'!$D$12:$D$16,$A79)*3+COUNTIF('Sprint W2'!$E$12:$E$16,$A79)*2+COUNTIF('Sprint W2'!$F$12:$F$16,$A79)*1)</f>
        <v>0</v>
      </c>
      <c r="E79" s="15">
        <f>IF($A79="",0,COUNTIF('Sprint W3'!$B$12:$B$16,$A79)*5+COUNTIF('Sprint W3'!$C$12:$C$16,$A79)*4+COUNTIF('Sprint W3'!$D$12:$D$16,$A79)*3+COUNTIF('Sprint W3'!$E$12:$E$16,$A79)*2+COUNTIF('Sprint W3'!$F$12:$F$16,$A79)*1)</f>
        <v>0</v>
      </c>
      <c r="F79" s="15">
        <f>IF($A79="",0,COUNTIF('Sprint W4'!$B$12:$B$16,$A79)*5+COUNTIF('Sprint W4'!$C$12:$C$16,$A79)*4+COUNTIF('Sprint W4'!$D$12:$D$16,$A79)*3+COUNTIF('Sprint W4'!$E$12:$E$16,$A79)*2+COUNTIF('Sprint W4'!$F$12:$F$16,$A79)*1)</f>
        <v>0</v>
      </c>
      <c r="G79" s="15">
        <f>IF($A79="",0,COUNTIF('Sprint W5'!$B$12:$B$16,$A79)*5+COUNTIF('Sprint W5'!$C$12:$C$16,$A79)*4+COUNTIF('Sprint W5'!$D$12:$D$16,$A79)*3+COUNTIF('Sprint W5'!$E$12:$E$16,$A79)*2+COUNTIF('Sprint W5'!$F$12:$F$16,$A79)*1)</f>
        <v>0</v>
      </c>
      <c r="H79" s="25" t="str">
        <f t="shared" si="4"/>
        <v/>
      </c>
      <c r="I79" s="26" t="str">
        <f t="shared" si="5"/>
        <v/>
      </c>
      <c r="AA79">
        <f>'Sprint W4'!E12</f>
        <v>0</v>
      </c>
      <c r="AB79">
        <f>IF(AA79="",0,IF(COUNTIF($AA$1:AA79,AA79)=1,1,0))</f>
        <v>0</v>
      </c>
      <c r="AC79" t="str">
        <f>IF(AB79=1,COUNTIF($AB$1:AB79,1),"")</f>
        <v/>
      </c>
    </row>
    <row r="80" spans="1:29" x14ac:dyDescent="0.25">
      <c r="A80" s="13" t="str">
        <f>IFERROR(INDEX($AA$1:$AA$125,MATCH(77,$AC$1:$AC$125,0)),"")</f>
        <v/>
      </c>
      <c r="B80" s="33"/>
      <c r="C80" s="15">
        <f>IF($A80="",0,COUNTIF('Sprint W1'!$B$12:$B$16,$A80)*5+COUNTIF('Sprint W1'!$C$12:$C$16,$A80)*4+COUNTIF('Sprint W1'!$D$12:$D$16,$A80)*3+COUNTIF('Sprint W1'!$E$12:$E$16,$A80)*2+COUNTIF('Sprint W1'!$F$12:$F$16,$A80)*1)</f>
        <v>0</v>
      </c>
      <c r="D80" s="15">
        <f>IF($A80="",0,COUNTIF('Sprint W2'!$B$12:$B$16,$A80)*5+COUNTIF('Sprint W2'!$C$12:$C$16,$A80)*4+COUNTIF('Sprint W2'!$D$12:$D$16,$A80)*3+COUNTIF('Sprint W2'!$E$12:$E$16,$A80)*2+COUNTIF('Sprint W2'!$F$12:$F$16,$A80)*1)</f>
        <v>0</v>
      </c>
      <c r="E80" s="15">
        <f>IF($A80="",0,COUNTIF('Sprint W3'!$B$12:$B$16,$A80)*5+COUNTIF('Sprint W3'!$C$12:$C$16,$A80)*4+COUNTIF('Sprint W3'!$D$12:$D$16,$A80)*3+COUNTIF('Sprint W3'!$E$12:$E$16,$A80)*2+COUNTIF('Sprint W3'!$F$12:$F$16,$A80)*1)</f>
        <v>0</v>
      </c>
      <c r="F80" s="15">
        <f>IF($A80="",0,COUNTIF('Sprint W4'!$B$12:$B$16,$A80)*5+COUNTIF('Sprint W4'!$C$12:$C$16,$A80)*4+COUNTIF('Sprint W4'!$D$12:$D$16,$A80)*3+COUNTIF('Sprint W4'!$E$12:$E$16,$A80)*2+COUNTIF('Sprint W4'!$F$12:$F$16,$A80)*1)</f>
        <v>0</v>
      </c>
      <c r="G80" s="15">
        <f>IF($A80="",0,COUNTIF('Sprint W5'!$B$12:$B$16,$A80)*5+COUNTIF('Sprint W5'!$C$12:$C$16,$A80)*4+COUNTIF('Sprint W5'!$D$12:$D$16,$A80)*3+COUNTIF('Sprint W5'!$E$12:$E$16,$A80)*2+COUNTIF('Sprint W5'!$F$12:$F$16,$A80)*1)</f>
        <v>0</v>
      </c>
      <c r="H80" s="25" t="str">
        <f t="shared" si="4"/>
        <v/>
      </c>
      <c r="I80" s="26" t="str">
        <f t="shared" si="5"/>
        <v/>
      </c>
      <c r="AA80">
        <f>'Sprint W4'!F12</f>
        <v>0</v>
      </c>
      <c r="AB80">
        <f>IF(AA80="",0,IF(COUNTIF($AA$1:AA80,AA80)=1,1,0))</f>
        <v>0</v>
      </c>
      <c r="AC80" t="str">
        <f>IF(AB80=1,COUNTIF($AB$1:AB80,1),"")</f>
        <v/>
      </c>
    </row>
    <row r="81" spans="1:29" x14ac:dyDescent="0.25">
      <c r="A81" s="13" t="str">
        <f>IFERROR(INDEX($AA$1:$AA$125,MATCH(78,$AC$1:$AC$125,0)),"")</f>
        <v/>
      </c>
      <c r="B81" s="33"/>
      <c r="C81" s="15">
        <f>IF($A81="",0,COUNTIF('Sprint W1'!$B$12:$B$16,$A81)*5+COUNTIF('Sprint W1'!$C$12:$C$16,$A81)*4+COUNTIF('Sprint W1'!$D$12:$D$16,$A81)*3+COUNTIF('Sprint W1'!$E$12:$E$16,$A81)*2+COUNTIF('Sprint W1'!$F$12:$F$16,$A81)*1)</f>
        <v>0</v>
      </c>
      <c r="D81" s="15">
        <f>IF($A81="",0,COUNTIF('Sprint W2'!$B$12:$B$16,$A81)*5+COUNTIF('Sprint W2'!$C$12:$C$16,$A81)*4+COUNTIF('Sprint W2'!$D$12:$D$16,$A81)*3+COUNTIF('Sprint W2'!$E$12:$E$16,$A81)*2+COUNTIF('Sprint W2'!$F$12:$F$16,$A81)*1)</f>
        <v>0</v>
      </c>
      <c r="E81" s="15">
        <f>IF($A81="",0,COUNTIF('Sprint W3'!$B$12:$B$16,$A81)*5+COUNTIF('Sprint W3'!$C$12:$C$16,$A81)*4+COUNTIF('Sprint W3'!$D$12:$D$16,$A81)*3+COUNTIF('Sprint W3'!$E$12:$E$16,$A81)*2+COUNTIF('Sprint W3'!$F$12:$F$16,$A81)*1)</f>
        <v>0</v>
      </c>
      <c r="F81" s="15">
        <f>IF($A81="",0,COUNTIF('Sprint W4'!$B$12:$B$16,$A81)*5+COUNTIF('Sprint W4'!$C$12:$C$16,$A81)*4+COUNTIF('Sprint W4'!$D$12:$D$16,$A81)*3+COUNTIF('Sprint W4'!$E$12:$E$16,$A81)*2+COUNTIF('Sprint W4'!$F$12:$F$16,$A81)*1)</f>
        <v>0</v>
      </c>
      <c r="G81" s="15">
        <f>IF($A81="",0,COUNTIF('Sprint W5'!$B$12:$B$16,$A81)*5+COUNTIF('Sprint W5'!$C$12:$C$16,$A81)*4+COUNTIF('Sprint W5'!$D$12:$D$16,$A81)*3+COUNTIF('Sprint W5'!$E$12:$E$16,$A81)*2+COUNTIF('Sprint W5'!$F$12:$F$16,$A81)*1)</f>
        <v>0</v>
      </c>
      <c r="H81" s="25" t="str">
        <f t="shared" si="4"/>
        <v/>
      </c>
      <c r="I81" s="26" t="str">
        <f t="shared" si="5"/>
        <v/>
      </c>
      <c r="AA81">
        <f>'Sprint W4'!B13</f>
        <v>0</v>
      </c>
      <c r="AB81">
        <f>IF(AA81="",0,IF(COUNTIF($AA$1:AA81,AA81)=1,1,0))</f>
        <v>0</v>
      </c>
      <c r="AC81" t="str">
        <f>IF(AB81=1,COUNTIF($AB$1:AB81,1),"")</f>
        <v/>
      </c>
    </row>
    <row r="82" spans="1:29" x14ac:dyDescent="0.25">
      <c r="A82" s="13" t="str">
        <f>IFERROR(INDEX($AA$1:$AA$125,MATCH(79,$AC$1:$AC$125,0)),"")</f>
        <v/>
      </c>
      <c r="B82" s="33"/>
      <c r="C82" s="15">
        <f>IF($A82="",0,COUNTIF('Sprint W1'!$B$12:$B$16,$A82)*5+COUNTIF('Sprint W1'!$C$12:$C$16,$A82)*4+COUNTIF('Sprint W1'!$D$12:$D$16,$A82)*3+COUNTIF('Sprint W1'!$E$12:$E$16,$A82)*2+COUNTIF('Sprint W1'!$F$12:$F$16,$A82)*1)</f>
        <v>0</v>
      </c>
      <c r="D82" s="15">
        <f>IF($A82="",0,COUNTIF('Sprint W2'!$B$12:$B$16,$A82)*5+COUNTIF('Sprint W2'!$C$12:$C$16,$A82)*4+COUNTIF('Sprint W2'!$D$12:$D$16,$A82)*3+COUNTIF('Sprint W2'!$E$12:$E$16,$A82)*2+COUNTIF('Sprint W2'!$F$12:$F$16,$A82)*1)</f>
        <v>0</v>
      </c>
      <c r="E82" s="15">
        <f>IF($A82="",0,COUNTIF('Sprint W3'!$B$12:$B$16,$A82)*5+COUNTIF('Sprint W3'!$C$12:$C$16,$A82)*4+COUNTIF('Sprint W3'!$D$12:$D$16,$A82)*3+COUNTIF('Sprint W3'!$E$12:$E$16,$A82)*2+COUNTIF('Sprint W3'!$F$12:$F$16,$A82)*1)</f>
        <v>0</v>
      </c>
      <c r="F82" s="15">
        <f>IF($A82="",0,COUNTIF('Sprint W4'!$B$12:$B$16,$A82)*5+COUNTIF('Sprint W4'!$C$12:$C$16,$A82)*4+COUNTIF('Sprint W4'!$D$12:$D$16,$A82)*3+COUNTIF('Sprint W4'!$E$12:$E$16,$A82)*2+COUNTIF('Sprint W4'!$F$12:$F$16,$A82)*1)</f>
        <v>0</v>
      </c>
      <c r="G82" s="15">
        <f>IF($A82="",0,COUNTIF('Sprint W5'!$B$12:$B$16,$A82)*5+COUNTIF('Sprint W5'!$C$12:$C$16,$A82)*4+COUNTIF('Sprint W5'!$D$12:$D$16,$A82)*3+COUNTIF('Sprint W5'!$E$12:$E$16,$A82)*2+COUNTIF('Sprint W5'!$F$12:$F$16,$A82)*1)</f>
        <v>0</v>
      </c>
      <c r="H82" s="25" t="str">
        <f t="shared" si="4"/>
        <v/>
      </c>
      <c r="I82" s="26" t="str">
        <f t="shared" si="5"/>
        <v/>
      </c>
      <c r="AA82">
        <f>'Sprint W4'!C13</f>
        <v>0</v>
      </c>
      <c r="AB82">
        <f>IF(AA82="",0,IF(COUNTIF($AA$1:AA82,AA82)=1,1,0))</f>
        <v>0</v>
      </c>
      <c r="AC82" t="str">
        <f>IF(AB82=1,COUNTIF($AB$1:AB82,1),"")</f>
        <v/>
      </c>
    </row>
    <row r="83" spans="1:29" x14ac:dyDescent="0.25">
      <c r="A83" s="13" t="str">
        <f>IFERROR(INDEX($AA$1:$AA$125,MATCH(80,$AC$1:$AC$125,0)),"")</f>
        <v/>
      </c>
      <c r="B83" s="33"/>
      <c r="C83" s="15">
        <f>IF($A83="",0,COUNTIF('Sprint W1'!$B$12:$B$16,$A83)*5+COUNTIF('Sprint W1'!$C$12:$C$16,$A83)*4+COUNTIF('Sprint W1'!$D$12:$D$16,$A83)*3+COUNTIF('Sprint W1'!$E$12:$E$16,$A83)*2+COUNTIF('Sprint W1'!$F$12:$F$16,$A83)*1)</f>
        <v>0</v>
      </c>
      <c r="D83" s="15">
        <f>IF($A83="",0,COUNTIF('Sprint W2'!$B$12:$B$16,$A83)*5+COUNTIF('Sprint W2'!$C$12:$C$16,$A83)*4+COUNTIF('Sprint W2'!$D$12:$D$16,$A83)*3+COUNTIF('Sprint W2'!$E$12:$E$16,$A83)*2+COUNTIF('Sprint W2'!$F$12:$F$16,$A83)*1)</f>
        <v>0</v>
      </c>
      <c r="E83" s="15">
        <f>IF($A83="",0,COUNTIF('Sprint W3'!$B$12:$B$16,$A83)*5+COUNTIF('Sprint W3'!$C$12:$C$16,$A83)*4+COUNTIF('Sprint W3'!$D$12:$D$16,$A83)*3+COUNTIF('Sprint W3'!$E$12:$E$16,$A83)*2+COUNTIF('Sprint W3'!$F$12:$F$16,$A83)*1)</f>
        <v>0</v>
      </c>
      <c r="F83" s="15">
        <f>IF($A83="",0,COUNTIF('Sprint W4'!$B$12:$B$16,$A83)*5+COUNTIF('Sprint W4'!$C$12:$C$16,$A83)*4+COUNTIF('Sprint W4'!$D$12:$D$16,$A83)*3+COUNTIF('Sprint W4'!$E$12:$E$16,$A83)*2+COUNTIF('Sprint W4'!$F$12:$F$16,$A83)*1)</f>
        <v>0</v>
      </c>
      <c r="G83" s="15">
        <f>IF($A83="",0,COUNTIF('Sprint W5'!$B$12:$B$16,$A83)*5+COUNTIF('Sprint W5'!$C$12:$C$16,$A83)*4+COUNTIF('Sprint W5'!$D$12:$D$16,$A83)*3+COUNTIF('Sprint W5'!$E$12:$E$16,$A83)*2+COUNTIF('Sprint W5'!$F$12:$F$16,$A83)*1)</f>
        <v>0</v>
      </c>
      <c r="H83" s="25" t="str">
        <f t="shared" si="4"/>
        <v/>
      </c>
      <c r="I83" s="26" t="str">
        <f t="shared" si="5"/>
        <v/>
      </c>
      <c r="AA83">
        <f>'Sprint W4'!D13</f>
        <v>0</v>
      </c>
      <c r="AB83">
        <f>IF(AA83="",0,IF(COUNTIF($AA$1:AA83,AA83)=1,1,0))</f>
        <v>0</v>
      </c>
      <c r="AC83" t="str">
        <f>IF(AB83=1,COUNTIF($AB$1:AB83,1),"")</f>
        <v/>
      </c>
    </row>
    <row r="84" spans="1:29" x14ac:dyDescent="0.25">
      <c r="A84" s="13" t="str">
        <f>IFERROR(INDEX($AA$1:$AA$125,MATCH(81,$AC$1:$AC$125,0)),"")</f>
        <v/>
      </c>
      <c r="B84" s="33"/>
      <c r="C84" s="15">
        <f>IF($A84="",0,COUNTIF('Sprint W1'!$B$12:$B$16,$A84)*5+COUNTIF('Sprint W1'!$C$12:$C$16,$A84)*4+COUNTIF('Sprint W1'!$D$12:$D$16,$A84)*3+COUNTIF('Sprint W1'!$E$12:$E$16,$A84)*2+COUNTIF('Sprint W1'!$F$12:$F$16,$A84)*1)</f>
        <v>0</v>
      </c>
      <c r="D84" s="15">
        <f>IF($A84="",0,COUNTIF('Sprint W2'!$B$12:$B$16,$A84)*5+COUNTIF('Sprint W2'!$C$12:$C$16,$A84)*4+COUNTIF('Sprint W2'!$D$12:$D$16,$A84)*3+COUNTIF('Sprint W2'!$E$12:$E$16,$A84)*2+COUNTIF('Sprint W2'!$F$12:$F$16,$A84)*1)</f>
        <v>0</v>
      </c>
      <c r="E84" s="15">
        <f>IF($A84="",0,COUNTIF('Sprint W3'!$B$12:$B$16,$A84)*5+COUNTIF('Sprint W3'!$C$12:$C$16,$A84)*4+COUNTIF('Sprint W3'!$D$12:$D$16,$A84)*3+COUNTIF('Sprint W3'!$E$12:$E$16,$A84)*2+COUNTIF('Sprint W3'!$F$12:$F$16,$A84)*1)</f>
        <v>0</v>
      </c>
      <c r="F84" s="15">
        <f>IF($A84="",0,COUNTIF('Sprint W4'!$B$12:$B$16,$A84)*5+COUNTIF('Sprint W4'!$C$12:$C$16,$A84)*4+COUNTIF('Sprint W4'!$D$12:$D$16,$A84)*3+COUNTIF('Sprint W4'!$E$12:$E$16,$A84)*2+COUNTIF('Sprint W4'!$F$12:$F$16,$A84)*1)</f>
        <v>0</v>
      </c>
      <c r="G84" s="15">
        <f>IF($A84="",0,COUNTIF('Sprint W5'!$B$12:$B$16,$A84)*5+COUNTIF('Sprint W5'!$C$12:$C$16,$A84)*4+COUNTIF('Sprint W5'!$D$12:$D$16,$A84)*3+COUNTIF('Sprint W5'!$E$12:$E$16,$A84)*2+COUNTIF('Sprint W5'!$F$12:$F$16,$A84)*1)</f>
        <v>0</v>
      </c>
      <c r="H84" s="25" t="str">
        <f t="shared" si="4"/>
        <v/>
      </c>
      <c r="I84" s="26" t="str">
        <f t="shared" si="5"/>
        <v/>
      </c>
      <c r="AA84">
        <f>'Sprint W4'!E13</f>
        <v>0</v>
      </c>
      <c r="AB84">
        <f>IF(AA84="",0,IF(COUNTIF($AA$1:AA84,AA84)=1,1,0))</f>
        <v>0</v>
      </c>
      <c r="AC84" t="str">
        <f>IF(AB84=1,COUNTIF($AB$1:AB84,1),"")</f>
        <v/>
      </c>
    </row>
    <row r="85" spans="1:29" x14ac:dyDescent="0.25">
      <c r="A85" s="13" t="str">
        <f>IFERROR(INDEX($AA$1:$AA$125,MATCH(82,$AC$1:$AC$125,0)),"")</f>
        <v/>
      </c>
      <c r="B85" s="33"/>
      <c r="C85" s="15">
        <f>IF($A85="",0,COUNTIF('Sprint W1'!$B$12:$B$16,$A85)*5+COUNTIF('Sprint W1'!$C$12:$C$16,$A85)*4+COUNTIF('Sprint W1'!$D$12:$D$16,$A85)*3+COUNTIF('Sprint W1'!$E$12:$E$16,$A85)*2+COUNTIF('Sprint W1'!$F$12:$F$16,$A85)*1)</f>
        <v>0</v>
      </c>
      <c r="D85" s="15">
        <f>IF($A85="",0,COUNTIF('Sprint W2'!$B$12:$B$16,$A85)*5+COUNTIF('Sprint W2'!$C$12:$C$16,$A85)*4+COUNTIF('Sprint W2'!$D$12:$D$16,$A85)*3+COUNTIF('Sprint W2'!$E$12:$E$16,$A85)*2+COUNTIF('Sprint W2'!$F$12:$F$16,$A85)*1)</f>
        <v>0</v>
      </c>
      <c r="E85" s="15">
        <f>IF($A85="",0,COUNTIF('Sprint W3'!$B$12:$B$16,$A85)*5+COUNTIF('Sprint W3'!$C$12:$C$16,$A85)*4+COUNTIF('Sprint W3'!$D$12:$D$16,$A85)*3+COUNTIF('Sprint W3'!$E$12:$E$16,$A85)*2+COUNTIF('Sprint W3'!$F$12:$F$16,$A85)*1)</f>
        <v>0</v>
      </c>
      <c r="F85" s="15">
        <f>IF($A85="",0,COUNTIF('Sprint W4'!$B$12:$B$16,$A85)*5+COUNTIF('Sprint W4'!$C$12:$C$16,$A85)*4+COUNTIF('Sprint W4'!$D$12:$D$16,$A85)*3+COUNTIF('Sprint W4'!$E$12:$E$16,$A85)*2+COUNTIF('Sprint W4'!$F$12:$F$16,$A85)*1)</f>
        <v>0</v>
      </c>
      <c r="G85" s="15">
        <f>IF($A85="",0,COUNTIF('Sprint W5'!$B$12:$B$16,$A85)*5+COUNTIF('Sprint W5'!$C$12:$C$16,$A85)*4+COUNTIF('Sprint W5'!$D$12:$D$16,$A85)*3+COUNTIF('Sprint W5'!$E$12:$E$16,$A85)*2+COUNTIF('Sprint W5'!$F$12:$F$16,$A85)*1)</f>
        <v>0</v>
      </c>
      <c r="H85" s="25" t="str">
        <f t="shared" si="4"/>
        <v/>
      </c>
      <c r="I85" s="26" t="str">
        <f t="shared" si="5"/>
        <v/>
      </c>
      <c r="AA85">
        <f>'Sprint W4'!F13</f>
        <v>0</v>
      </c>
      <c r="AB85">
        <f>IF(AA85="",0,IF(COUNTIF($AA$1:AA85,AA85)=1,1,0))</f>
        <v>0</v>
      </c>
      <c r="AC85" t="str">
        <f>IF(AB85=1,COUNTIF($AB$1:AB85,1),"")</f>
        <v/>
      </c>
    </row>
    <row r="86" spans="1:29" x14ac:dyDescent="0.25">
      <c r="A86" s="13" t="str">
        <f>IFERROR(INDEX($AA$1:$AA$125,MATCH(83,$AC$1:$AC$125,0)),"")</f>
        <v/>
      </c>
      <c r="B86" s="33"/>
      <c r="C86" s="15">
        <f>IF($A86="",0,COUNTIF('Sprint W1'!$B$12:$B$16,$A86)*5+COUNTIF('Sprint W1'!$C$12:$C$16,$A86)*4+COUNTIF('Sprint W1'!$D$12:$D$16,$A86)*3+COUNTIF('Sprint W1'!$E$12:$E$16,$A86)*2+COUNTIF('Sprint W1'!$F$12:$F$16,$A86)*1)</f>
        <v>0</v>
      </c>
      <c r="D86" s="15">
        <f>IF($A86="",0,COUNTIF('Sprint W2'!$B$12:$B$16,$A86)*5+COUNTIF('Sprint W2'!$C$12:$C$16,$A86)*4+COUNTIF('Sprint W2'!$D$12:$D$16,$A86)*3+COUNTIF('Sprint W2'!$E$12:$E$16,$A86)*2+COUNTIF('Sprint W2'!$F$12:$F$16,$A86)*1)</f>
        <v>0</v>
      </c>
      <c r="E86" s="15">
        <f>IF($A86="",0,COUNTIF('Sprint W3'!$B$12:$B$16,$A86)*5+COUNTIF('Sprint W3'!$C$12:$C$16,$A86)*4+COUNTIF('Sprint W3'!$D$12:$D$16,$A86)*3+COUNTIF('Sprint W3'!$E$12:$E$16,$A86)*2+COUNTIF('Sprint W3'!$F$12:$F$16,$A86)*1)</f>
        <v>0</v>
      </c>
      <c r="F86" s="15">
        <f>IF($A86="",0,COUNTIF('Sprint W4'!$B$12:$B$16,$A86)*5+COUNTIF('Sprint W4'!$C$12:$C$16,$A86)*4+COUNTIF('Sprint W4'!$D$12:$D$16,$A86)*3+COUNTIF('Sprint W4'!$E$12:$E$16,$A86)*2+COUNTIF('Sprint W4'!$F$12:$F$16,$A86)*1)</f>
        <v>0</v>
      </c>
      <c r="G86" s="15">
        <f>IF($A86="",0,COUNTIF('Sprint W5'!$B$12:$B$16,$A86)*5+COUNTIF('Sprint W5'!$C$12:$C$16,$A86)*4+COUNTIF('Sprint W5'!$D$12:$D$16,$A86)*3+COUNTIF('Sprint W5'!$E$12:$E$16,$A86)*2+COUNTIF('Sprint W5'!$F$12:$F$16,$A86)*1)</f>
        <v>0</v>
      </c>
      <c r="H86" s="25" t="str">
        <f t="shared" si="4"/>
        <v/>
      </c>
      <c r="I86" s="26" t="str">
        <f t="shared" si="5"/>
        <v/>
      </c>
      <c r="AA86">
        <f>'Sprint W4'!B14</f>
        <v>0</v>
      </c>
      <c r="AB86">
        <f>IF(AA86="",0,IF(COUNTIF($AA$1:AA86,AA86)=1,1,0))</f>
        <v>0</v>
      </c>
      <c r="AC86" t="str">
        <f>IF(AB86=1,COUNTIF($AB$1:AB86,1),"")</f>
        <v/>
      </c>
    </row>
    <row r="87" spans="1:29" x14ac:dyDescent="0.25">
      <c r="A87" s="13" t="str">
        <f>IFERROR(INDEX($AA$1:$AA$125,MATCH(84,$AC$1:$AC$125,0)),"")</f>
        <v/>
      </c>
      <c r="B87" s="33"/>
      <c r="C87" s="15">
        <f>IF($A87="",0,COUNTIF('Sprint W1'!$B$12:$B$16,$A87)*5+COUNTIF('Sprint W1'!$C$12:$C$16,$A87)*4+COUNTIF('Sprint W1'!$D$12:$D$16,$A87)*3+COUNTIF('Sprint W1'!$E$12:$E$16,$A87)*2+COUNTIF('Sprint W1'!$F$12:$F$16,$A87)*1)</f>
        <v>0</v>
      </c>
      <c r="D87" s="15">
        <f>IF($A87="",0,COUNTIF('Sprint W2'!$B$12:$B$16,$A87)*5+COUNTIF('Sprint W2'!$C$12:$C$16,$A87)*4+COUNTIF('Sprint W2'!$D$12:$D$16,$A87)*3+COUNTIF('Sprint W2'!$E$12:$E$16,$A87)*2+COUNTIF('Sprint W2'!$F$12:$F$16,$A87)*1)</f>
        <v>0</v>
      </c>
      <c r="E87" s="15">
        <f>IF($A87="",0,COUNTIF('Sprint W3'!$B$12:$B$16,$A87)*5+COUNTIF('Sprint W3'!$C$12:$C$16,$A87)*4+COUNTIF('Sprint W3'!$D$12:$D$16,$A87)*3+COUNTIF('Sprint W3'!$E$12:$E$16,$A87)*2+COUNTIF('Sprint W3'!$F$12:$F$16,$A87)*1)</f>
        <v>0</v>
      </c>
      <c r="F87" s="15">
        <f>IF($A87="",0,COUNTIF('Sprint W4'!$B$12:$B$16,$A87)*5+COUNTIF('Sprint W4'!$C$12:$C$16,$A87)*4+COUNTIF('Sprint W4'!$D$12:$D$16,$A87)*3+COUNTIF('Sprint W4'!$E$12:$E$16,$A87)*2+COUNTIF('Sprint W4'!$F$12:$F$16,$A87)*1)</f>
        <v>0</v>
      </c>
      <c r="G87" s="15">
        <f>IF($A87="",0,COUNTIF('Sprint W5'!$B$12:$B$16,$A87)*5+COUNTIF('Sprint W5'!$C$12:$C$16,$A87)*4+COUNTIF('Sprint W5'!$D$12:$D$16,$A87)*3+COUNTIF('Sprint W5'!$E$12:$E$16,$A87)*2+COUNTIF('Sprint W5'!$F$12:$F$16,$A87)*1)</f>
        <v>0</v>
      </c>
      <c r="H87" s="25" t="str">
        <f t="shared" si="4"/>
        <v/>
      </c>
      <c r="I87" s="26" t="str">
        <f t="shared" si="5"/>
        <v/>
      </c>
      <c r="AA87">
        <f>'Sprint W4'!C14</f>
        <v>0</v>
      </c>
      <c r="AB87">
        <f>IF(AA87="",0,IF(COUNTIF($AA$1:AA87,AA87)=1,1,0))</f>
        <v>0</v>
      </c>
      <c r="AC87" t="str">
        <f>IF(AB87=1,COUNTIF($AB$1:AB87,1),"")</f>
        <v/>
      </c>
    </row>
    <row r="88" spans="1:29" x14ac:dyDescent="0.25">
      <c r="A88" s="13" t="str">
        <f>IFERROR(INDEX($AA$1:$AA$125,MATCH(85,$AC$1:$AC$125,0)),"")</f>
        <v/>
      </c>
      <c r="B88" s="33"/>
      <c r="C88" s="15">
        <f>IF($A88="",0,COUNTIF('Sprint W1'!$B$12:$B$16,$A88)*5+COUNTIF('Sprint W1'!$C$12:$C$16,$A88)*4+COUNTIF('Sprint W1'!$D$12:$D$16,$A88)*3+COUNTIF('Sprint W1'!$E$12:$E$16,$A88)*2+COUNTIF('Sprint W1'!$F$12:$F$16,$A88)*1)</f>
        <v>0</v>
      </c>
      <c r="D88" s="15">
        <f>IF($A88="",0,COUNTIF('Sprint W2'!$B$12:$B$16,$A88)*5+COUNTIF('Sprint W2'!$C$12:$C$16,$A88)*4+COUNTIF('Sprint W2'!$D$12:$D$16,$A88)*3+COUNTIF('Sprint W2'!$E$12:$E$16,$A88)*2+COUNTIF('Sprint W2'!$F$12:$F$16,$A88)*1)</f>
        <v>0</v>
      </c>
      <c r="E88" s="15">
        <f>IF($A88="",0,COUNTIF('Sprint W3'!$B$12:$B$16,$A88)*5+COUNTIF('Sprint W3'!$C$12:$C$16,$A88)*4+COUNTIF('Sprint W3'!$D$12:$D$16,$A88)*3+COUNTIF('Sprint W3'!$E$12:$E$16,$A88)*2+COUNTIF('Sprint W3'!$F$12:$F$16,$A88)*1)</f>
        <v>0</v>
      </c>
      <c r="F88" s="15">
        <f>IF($A88="",0,COUNTIF('Sprint W4'!$B$12:$B$16,$A88)*5+COUNTIF('Sprint W4'!$C$12:$C$16,$A88)*4+COUNTIF('Sprint W4'!$D$12:$D$16,$A88)*3+COUNTIF('Sprint W4'!$E$12:$E$16,$A88)*2+COUNTIF('Sprint W4'!$F$12:$F$16,$A88)*1)</f>
        <v>0</v>
      </c>
      <c r="G88" s="15">
        <f>IF($A88="",0,COUNTIF('Sprint W5'!$B$12:$B$16,$A88)*5+COUNTIF('Sprint W5'!$C$12:$C$16,$A88)*4+COUNTIF('Sprint W5'!$D$12:$D$16,$A88)*3+COUNTIF('Sprint W5'!$E$12:$E$16,$A88)*2+COUNTIF('Sprint W5'!$F$12:$F$16,$A88)*1)</f>
        <v>0</v>
      </c>
      <c r="H88" s="25" t="str">
        <f t="shared" si="4"/>
        <v/>
      </c>
      <c r="I88" s="26" t="str">
        <f t="shared" si="5"/>
        <v/>
      </c>
      <c r="AA88">
        <f>'Sprint W4'!D14</f>
        <v>0</v>
      </c>
      <c r="AB88">
        <f>IF(AA88="",0,IF(COUNTIF($AA$1:AA88,AA88)=1,1,0))</f>
        <v>0</v>
      </c>
      <c r="AC88" t="str">
        <f>IF(AB88=1,COUNTIF($AB$1:AB88,1),"")</f>
        <v/>
      </c>
    </row>
    <row r="89" spans="1:29" x14ac:dyDescent="0.25">
      <c r="A89" s="13" t="str">
        <f>IFERROR(INDEX($AA$1:$AA$125,MATCH(86,$AC$1:$AC$125,0)),"")</f>
        <v/>
      </c>
      <c r="B89" s="33"/>
      <c r="C89" s="15">
        <f>IF($A89="",0,COUNTIF('Sprint W1'!$B$12:$B$16,$A89)*5+COUNTIF('Sprint W1'!$C$12:$C$16,$A89)*4+COUNTIF('Sprint W1'!$D$12:$D$16,$A89)*3+COUNTIF('Sprint W1'!$E$12:$E$16,$A89)*2+COUNTIF('Sprint W1'!$F$12:$F$16,$A89)*1)</f>
        <v>0</v>
      </c>
      <c r="D89" s="15">
        <f>IF($A89="",0,COUNTIF('Sprint W2'!$B$12:$B$16,$A89)*5+COUNTIF('Sprint W2'!$C$12:$C$16,$A89)*4+COUNTIF('Sprint W2'!$D$12:$D$16,$A89)*3+COUNTIF('Sprint W2'!$E$12:$E$16,$A89)*2+COUNTIF('Sprint W2'!$F$12:$F$16,$A89)*1)</f>
        <v>0</v>
      </c>
      <c r="E89" s="15">
        <f>IF($A89="",0,COUNTIF('Sprint W3'!$B$12:$B$16,$A89)*5+COUNTIF('Sprint W3'!$C$12:$C$16,$A89)*4+COUNTIF('Sprint W3'!$D$12:$D$16,$A89)*3+COUNTIF('Sprint W3'!$E$12:$E$16,$A89)*2+COUNTIF('Sprint W3'!$F$12:$F$16,$A89)*1)</f>
        <v>0</v>
      </c>
      <c r="F89" s="15">
        <f>IF($A89="",0,COUNTIF('Sprint W4'!$B$12:$B$16,$A89)*5+COUNTIF('Sprint W4'!$C$12:$C$16,$A89)*4+COUNTIF('Sprint W4'!$D$12:$D$16,$A89)*3+COUNTIF('Sprint W4'!$E$12:$E$16,$A89)*2+COUNTIF('Sprint W4'!$F$12:$F$16,$A89)*1)</f>
        <v>0</v>
      </c>
      <c r="G89" s="15">
        <f>IF($A89="",0,COUNTIF('Sprint W5'!$B$12:$B$16,$A89)*5+COUNTIF('Sprint W5'!$C$12:$C$16,$A89)*4+COUNTIF('Sprint W5'!$D$12:$D$16,$A89)*3+COUNTIF('Sprint W5'!$E$12:$E$16,$A89)*2+COUNTIF('Sprint W5'!$F$12:$F$16,$A89)*1)</f>
        <v>0</v>
      </c>
      <c r="H89" s="25" t="str">
        <f t="shared" si="4"/>
        <v/>
      </c>
      <c r="I89" s="26" t="str">
        <f t="shared" si="5"/>
        <v/>
      </c>
      <c r="AA89">
        <f>'Sprint W4'!E14</f>
        <v>0</v>
      </c>
      <c r="AB89">
        <f>IF(AA89="",0,IF(COUNTIF($AA$1:AA89,AA89)=1,1,0))</f>
        <v>0</v>
      </c>
      <c r="AC89" t="str">
        <f>IF(AB89=1,COUNTIF($AB$1:AB89,1),"")</f>
        <v/>
      </c>
    </row>
    <row r="90" spans="1:29" x14ac:dyDescent="0.25">
      <c r="A90" s="13" t="str">
        <f>IFERROR(INDEX($AA$1:$AA$125,MATCH(87,$AC$1:$AC$125,0)),"")</f>
        <v/>
      </c>
      <c r="B90" s="33"/>
      <c r="C90" s="15">
        <f>IF($A90="",0,COUNTIF('Sprint W1'!$B$12:$B$16,$A90)*5+COUNTIF('Sprint W1'!$C$12:$C$16,$A90)*4+COUNTIF('Sprint W1'!$D$12:$D$16,$A90)*3+COUNTIF('Sprint W1'!$E$12:$E$16,$A90)*2+COUNTIF('Sprint W1'!$F$12:$F$16,$A90)*1)</f>
        <v>0</v>
      </c>
      <c r="D90" s="15">
        <f>IF($A90="",0,COUNTIF('Sprint W2'!$B$12:$B$16,$A90)*5+COUNTIF('Sprint W2'!$C$12:$C$16,$A90)*4+COUNTIF('Sprint W2'!$D$12:$D$16,$A90)*3+COUNTIF('Sprint W2'!$E$12:$E$16,$A90)*2+COUNTIF('Sprint W2'!$F$12:$F$16,$A90)*1)</f>
        <v>0</v>
      </c>
      <c r="E90" s="15">
        <f>IF($A90="",0,COUNTIF('Sprint W3'!$B$12:$B$16,$A90)*5+COUNTIF('Sprint W3'!$C$12:$C$16,$A90)*4+COUNTIF('Sprint W3'!$D$12:$D$16,$A90)*3+COUNTIF('Sprint W3'!$E$12:$E$16,$A90)*2+COUNTIF('Sprint W3'!$F$12:$F$16,$A90)*1)</f>
        <v>0</v>
      </c>
      <c r="F90" s="15">
        <f>IF($A90="",0,COUNTIF('Sprint W4'!$B$12:$B$16,$A90)*5+COUNTIF('Sprint W4'!$C$12:$C$16,$A90)*4+COUNTIF('Sprint W4'!$D$12:$D$16,$A90)*3+COUNTIF('Sprint W4'!$E$12:$E$16,$A90)*2+COUNTIF('Sprint W4'!$F$12:$F$16,$A90)*1)</f>
        <v>0</v>
      </c>
      <c r="G90" s="15">
        <f>IF($A90="",0,COUNTIF('Sprint W5'!$B$12:$B$16,$A90)*5+COUNTIF('Sprint W5'!$C$12:$C$16,$A90)*4+COUNTIF('Sprint W5'!$D$12:$D$16,$A90)*3+COUNTIF('Sprint W5'!$E$12:$E$16,$A90)*2+COUNTIF('Sprint W5'!$F$12:$F$16,$A90)*1)</f>
        <v>0</v>
      </c>
      <c r="H90" s="25" t="str">
        <f t="shared" si="4"/>
        <v/>
      </c>
      <c r="I90" s="26" t="str">
        <f t="shared" si="5"/>
        <v/>
      </c>
      <c r="AA90">
        <f>'Sprint W4'!F14</f>
        <v>0</v>
      </c>
      <c r="AB90">
        <f>IF(AA90="",0,IF(COUNTIF($AA$1:AA90,AA90)=1,1,0))</f>
        <v>0</v>
      </c>
      <c r="AC90" t="str">
        <f>IF(AB90=1,COUNTIF($AB$1:AB90,1),"")</f>
        <v/>
      </c>
    </row>
    <row r="91" spans="1:29" x14ac:dyDescent="0.25">
      <c r="A91" s="13" t="str">
        <f>IFERROR(INDEX($AA$1:$AA$125,MATCH(88,$AC$1:$AC$125,0)),"")</f>
        <v/>
      </c>
      <c r="B91" s="33"/>
      <c r="C91" s="15">
        <f>IF($A91="",0,COUNTIF('Sprint W1'!$B$12:$B$16,$A91)*5+COUNTIF('Sprint W1'!$C$12:$C$16,$A91)*4+COUNTIF('Sprint W1'!$D$12:$D$16,$A91)*3+COUNTIF('Sprint W1'!$E$12:$E$16,$A91)*2+COUNTIF('Sprint W1'!$F$12:$F$16,$A91)*1)</f>
        <v>0</v>
      </c>
      <c r="D91" s="15">
        <f>IF($A91="",0,COUNTIF('Sprint W2'!$B$12:$B$16,$A91)*5+COUNTIF('Sprint W2'!$C$12:$C$16,$A91)*4+COUNTIF('Sprint W2'!$D$12:$D$16,$A91)*3+COUNTIF('Sprint W2'!$E$12:$E$16,$A91)*2+COUNTIF('Sprint W2'!$F$12:$F$16,$A91)*1)</f>
        <v>0</v>
      </c>
      <c r="E91" s="15">
        <f>IF($A91="",0,COUNTIF('Sprint W3'!$B$12:$B$16,$A91)*5+COUNTIF('Sprint W3'!$C$12:$C$16,$A91)*4+COUNTIF('Sprint W3'!$D$12:$D$16,$A91)*3+COUNTIF('Sprint W3'!$E$12:$E$16,$A91)*2+COUNTIF('Sprint W3'!$F$12:$F$16,$A91)*1)</f>
        <v>0</v>
      </c>
      <c r="F91" s="15">
        <f>IF($A91="",0,COUNTIF('Sprint W4'!$B$12:$B$16,$A91)*5+COUNTIF('Sprint W4'!$C$12:$C$16,$A91)*4+COUNTIF('Sprint W4'!$D$12:$D$16,$A91)*3+COUNTIF('Sprint W4'!$E$12:$E$16,$A91)*2+COUNTIF('Sprint W4'!$F$12:$F$16,$A91)*1)</f>
        <v>0</v>
      </c>
      <c r="G91" s="15">
        <f>IF($A91="",0,COUNTIF('Sprint W5'!$B$12:$B$16,$A91)*5+COUNTIF('Sprint W5'!$C$12:$C$16,$A91)*4+COUNTIF('Sprint W5'!$D$12:$D$16,$A91)*3+COUNTIF('Sprint W5'!$E$12:$E$16,$A91)*2+COUNTIF('Sprint W5'!$F$12:$F$16,$A91)*1)</f>
        <v>0</v>
      </c>
      <c r="H91" s="25" t="str">
        <f t="shared" si="4"/>
        <v/>
      </c>
      <c r="I91" s="26" t="str">
        <f t="shared" si="5"/>
        <v/>
      </c>
      <c r="AA91">
        <f>'Sprint W4'!B15</f>
        <v>0</v>
      </c>
      <c r="AB91">
        <f>IF(AA91="",0,IF(COUNTIF($AA$1:AA91,AA91)=1,1,0))</f>
        <v>0</v>
      </c>
      <c r="AC91" t="str">
        <f>IF(AB91=1,COUNTIF($AB$1:AB91,1),"")</f>
        <v/>
      </c>
    </row>
    <row r="92" spans="1:29" x14ac:dyDescent="0.25">
      <c r="A92" s="13" t="str">
        <f>IFERROR(INDEX($AA$1:$AA$125,MATCH(89,$AC$1:$AC$125,0)),"")</f>
        <v/>
      </c>
      <c r="B92" s="33"/>
      <c r="C92" s="15">
        <f>IF($A92="",0,COUNTIF('Sprint W1'!$B$12:$B$16,$A92)*5+COUNTIF('Sprint W1'!$C$12:$C$16,$A92)*4+COUNTIF('Sprint W1'!$D$12:$D$16,$A92)*3+COUNTIF('Sprint W1'!$E$12:$E$16,$A92)*2+COUNTIF('Sprint W1'!$F$12:$F$16,$A92)*1)</f>
        <v>0</v>
      </c>
      <c r="D92" s="15">
        <f>IF($A92="",0,COUNTIF('Sprint W2'!$B$12:$B$16,$A92)*5+COUNTIF('Sprint W2'!$C$12:$C$16,$A92)*4+COUNTIF('Sprint W2'!$D$12:$D$16,$A92)*3+COUNTIF('Sprint W2'!$E$12:$E$16,$A92)*2+COUNTIF('Sprint W2'!$F$12:$F$16,$A92)*1)</f>
        <v>0</v>
      </c>
      <c r="E92" s="15">
        <f>IF($A92="",0,COUNTIF('Sprint W3'!$B$12:$B$16,$A92)*5+COUNTIF('Sprint W3'!$C$12:$C$16,$A92)*4+COUNTIF('Sprint W3'!$D$12:$D$16,$A92)*3+COUNTIF('Sprint W3'!$E$12:$E$16,$A92)*2+COUNTIF('Sprint W3'!$F$12:$F$16,$A92)*1)</f>
        <v>0</v>
      </c>
      <c r="F92" s="15">
        <f>IF($A92="",0,COUNTIF('Sprint W4'!$B$12:$B$16,$A92)*5+COUNTIF('Sprint W4'!$C$12:$C$16,$A92)*4+COUNTIF('Sprint W4'!$D$12:$D$16,$A92)*3+COUNTIF('Sprint W4'!$E$12:$E$16,$A92)*2+COUNTIF('Sprint W4'!$F$12:$F$16,$A92)*1)</f>
        <v>0</v>
      </c>
      <c r="G92" s="15">
        <f>IF($A92="",0,COUNTIF('Sprint W5'!$B$12:$B$16,$A92)*5+COUNTIF('Sprint W5'!$C$12:$C$16,$A92)*4+COUNTIF('Sprint W5'!$D$12:$D$16,$A92)*3+COUNTIF('Sprint W5'!$E$12:$E$16,$A92)*2+COUNTIF('Sprint W5'!$F$12:$F$16,$A92)*1)</f>
        <v>0</v>
      </c>
      <c r="H92" s="25" t="str">
        <f t="shared" si="4"/>
        <v/>
      </c>
      <c r="I92" s="26" t="str">
        <f t="shared" si="5"/>
        <v/>
      </c>
      <c r="AA92">
        <f>'Sprint W4'!C15</f>
        <v>0</v>
      </c>
      <c r="AB92">
        <f>IF(AA92="",0,IF(COUNTIF($AA$1:AA92,AA92)=1,1,0))</f>
        <v>0</v>
      </c>
      <c r="AC92" t="str">
        <f>IF(AB92=1,COUNTIF($AB$1:AB92,1),"")</f>
        <v/>
      </c>
    </row>
    <row r="93" spans="1:29" x14ac:dyDescent="0.25">
      <c r="A93" s="13" t="str">
        <f>IFERROR(INDEX($AA$1:$AA$125,MATCH(90,$AC$1:$AC$125,0)),"")</f>
        <v/>
      </c>
      <c r="B93" s="33"/>
      <c r="C93" s="15">
        <f>IF($A93="",0,COUNTIF('Sprint W1'!$B$12:$B$16,$A93)*5+COUNTIF('Sprint W1'!$C$12:$C$16,$A93)*4+COUNTIF('Sprint W1'!$D$12:$D$16,$A93)*3+COUNTIF('Sprint W1'!$E$12:$E$16,$A93)*2+COUNTIF('Sprint W1'!$F$12:$F$16,$A93)*1)</f>
        <v>0</v>
      </c>
      <c r="D93" s="15">
        <f>IF($A93="",0,COUNTIF('Sprint W2'!$B$12:$B$16,$A93)*5+COUNTIF('Sprint W2'!$C$12:$C$16,$A93)*4+COUNTIF('Sprint W2'!$D$12:$D$16,$A93)*3+COUNTIF('Sprint W2'!$E$12:$E$16,$A93)*2+COUNTIF('Sprint W2'!$F$12:$F$16,$A93)*1)</f>
        <v>0</v>
      </c>
      <c r="E93" s="15">
        <f>IF($A93="",0,COUNTIF('Sprint W3'!$B$12:$B$16,$A93)*5+COUNTIF('Sprint W3'!$C$12:$C$16,$A93)*4+COUNTIF('Sprint W3'!$D$12:$D$16,$A93)*3+COUNTIF('Sprint W3'!$E$12:$E$16,$A93)*2+COUNTIF('Sprint W3'!$F$12:$F$16,$A93)*1)</f>
        <v>0</v>
      </c>
      <c r="F93" s="15">
        <f>IF($A93="",0,COUNTIF('Sprint W4'!$B$12:$B$16,$A93)*5+COUNTIF('Sprint W4'!$C$12:$C$16,$A93)*4+COUNTIF('Sprint W4'!$D$12:$D$16,$A93)*3+COUNTIF('Sprint W4'!$E$12:$E$16,$A93)*2+COUNTIF('Sprint W4'!$F$12:$F$16,$A93)*1)</f>
        <v>0</v>
      </c>
      <c r="G93" s="15">
        <f>IF($A93="",0,COUNTIF('Sprint W5'!$B$12:$B$16,$A93)*5+COUNTIF('Sprint W5'!$C$12:$C$16,$A93)*4+COUNTIF('Sprint W5'!$D$12:$D$16,$A93)*3+COUNTIF('Sprint W5'!$E$12:$E$16,$A93)*2+COUNTIF('Sprint W5'!$F$12:$F$16,$A93)*1)</f>
        <v>0</v>
      </c>
      <c r="H93" s="25" t="str">
        <f t="shared" si="4"/>
        <v/>
      </c>
      <c r="I93" s="26" t="str">
        <f t="shared" si="5"/>
        <v/>
      </c>
      <c r="AA93">
        <f>'Sprint W4'!D15</f>
        <v>0</v>
      </c>
      <c r="AB93">
        <f>IF(AA93="",0,IF(COUNTIF($AA$1:AA93,AA93)=1,1,0))</f>
        <v>0</v>
      </c>
      <c r="AC93" t="str">
        <f>IF(AB93=1,COUNTIF($AB$1:AB93,1),"")</f>
        <v/>
      </c>
    </row>
    <row r="94" spans="1:29" x14ac:dyDescent="0.25">
      <c r="A94" s="13" t="str">
        <f>IFERROR(INDEX($AA$1:$AA$125,MATCH(91,$AC$1:$AC$125,0)),"")</f>
        <v/>
      </c>
      <c r="B94" s="33"/>
      <c r="C94" s="15">
        <f>IF($A94="",0,COUNTIF('Sprint W1'!$B$12:$B$16,$A94)*5+COUNTIF('Sprint W1'!$C$12:$C$16,$A94)*4+COUNTIF('Sprint W1'!$D$12:$D$16,$A94)*3+COUNTIF('Sprint W1'!$E$12:$E$16,$A94)*2+COUNTIF('Sprint W1'!$F$12:$F$16,$A94)*1)</f>
        <v>0</v>
      </c>
      <c r="D94" s="15">
        <f>IF($A94="",0,COUNTIF('Sprint W2'!$B$12:$B$16,$A94)*5+COUNTIF('Sprint W2'!$C$12:$C$16,$A94)*4+COUNTIF('Sprint W2'!$D$12:$D$16,$A94)*3+COUNTIF('Sprint W2'!$E$12:$E$16,$A94)*2+COUNTIF('Sprint W2'!$F$12:$F$16,$A94)*1)</f>
        <v>0</v>
      </c>
      <c r="E94" s="15">
        <f>IF($A94="",0,COUNTIF('Sprint W3'!$B$12:$B$16,$A94)*5+COUNTIF('Sprint W3'!$C$12:$C$16,$A94)*4+COUNTIF('Sprint W3'!$D$12:$D$16,$A94)*3+COUNTIF('Sprint W3'!$E$12:$E$16,$A94)*2+COUNTIF('Sprint W3'!$F$12:$F$16,$A94)*1)</f>
        <v>0</v>
      </c>
      <c r="F94" s="15">
        <f>IF($A94="",0,COUNTIF('Sprint W4'!$B$12:$B$16,$A94)*5+COUNTIF('Sprint W4'!$C$12:$C$16,$A94)*4+COUNTIF('Sprint W4'!$D$12:$D$16,$A94)*3+COUNTIF('Sprint W4'!$E$12:$E$16,$A94)*2+COUNTIF('Sprint W4'!$F$12:$F$16,$A94)*1)</f>
        <v>0</v>
      </c>
      <c r="G94" s="15">
        <f>IF($A94="",0,COUNTIF('Sprint W5'!$B$12:$B$16,$A94)*5+COUNTIF('Sprint W5'!$C$12:$C$16,$A94)*4+COUNTIF('Sprint W5'!$D$12:$D$16,$A94)*3+COUNTIF('Sprint W5'!$E$12:$E$16,$A94)*2+COUNTIF('Sprint W5'!$F$12:$F$16,$A94)*1)</f>
        <v>0</v>
      </c>
      <c r="H94" s="25" t="str">
        <f t="shared" si="4"/>
        <v/>
      </c>
      <c r="I94" s="26" t="str">
        <f t="shared" si="5"/>
        <v/>
      </c>
      <c r="AA94">
        <f>'Sprint W4'!E15</f>
        <v>0</v>
      </c>
      <c r="AB94">
        <f>IF(AA94="",0,IF(COUNTIF($AA$1:AA94,AA94)=1,1,0))</f>
        <v>0</v>
      </c>
      <c r="AC94" t="str">
        <f>IF(AB94=1,COUNTIF($AB$1:AB94,1),"")</f>
        <v/>
      </c>
    </row>
    <row r="95" spans="1:29" x14ac:dyDescent="0.25">
      <c r="A95" s="13" t="str">
        <f>IFERROR(INDEX($AA$1:$AA$125,MATCH(92,$AC$1:$AC$125,0)),"")</f>
        <v/>
      </c>
      <c r="B95" s="33"/>
      <c r="C95" s="15">
        <f>IF($A95="",0,COUNTIF('Sprint W1'!$B$12:$B$16,$A95)*5+COUNTIF('Sprint W1'!$C$12:$C$16,$A95)*4+COUNTIF('Sprint W1'!$D$12:$D$16,$A95)*3+COUNTIF('Sprint W1'!$E$12:$E$16,$A95)*2+COUNTIF('Sprint W1'!$F$12:$F$16,$A95)*1)</f>
        <v>0</v>
      </c>
      <c r="D95" s="15">
        <f>IF($A95="",0,COUNTIF('Sprint W2'!$B$12:$B$16,$A95)*5+COUNTIF('Sprint W2'!$C$12:$C$16,$A95)*4+COUNTIF('Sprint W2'!$D$12:$D$16,$A95)*3+COUNTIF('Sprint W2'!$E$12:$E$16,$A95)*2+COUNTIF('Sprint W2'!$F$12:$F$16,$A95)*1)</f>
        <v>0</v>
      </c>
      <c r="E95" s="15">
        <f>IF($A95="",0,COUNTIF('Sprint W3'!$B$12:$B$16,$A95)*5+COUNTIF('Sprint W3'!$C$12:$C$16,$A95)*4+COUNTIF('Sprint W3'!$D$12:$D$16,$A95)*3+COUNTIF('Sprint W3'!$E$12:$E$16,$A95)*2+COUNTIF('Sprint W3'!$F$12:$F$16,$A95)*1)</f>
        <v>0</v>
      </c>
      <c r="F95" s="15">
        <f>IF($A95="",0,COUNTIF('Sprint W4'!$B$12:$B$16,$A95)*5+COUNTIF('Sprint W4'!$C$12:$C$16,$A95)*4+COUNTIF('Sprint W4'!$D$12:$D$16,$A95)*3+COUNTIF('Sprint W4'!$E$12:$E$16,$A95)*2+COUNTIF('Sprint W4'!$F$12:$F$16,$A95)*1)</f>
        <v>0</v>
      </c>
      <c r="G95" s="15">
        <f>IF($A95="",0,COUNTIF('Sprint W5'!$B$12:$B$16,$A95)*5+COUNTIF('Sprint W5'!$C$12:$C$16,$A95)*4+COUNTIF('Sprint W5'!$D$12:$D$16,$A95)*3+COUNTIF('Sprint W5'!$E$12:$E$16,$A95)*2+COUNTIF('Sprint W5'!$F$12:$F$16,$A95)*1)</f>
        <v>0</v>
      </c>
      <c r="H95" s="25" t="str">
        <f t="shared" si="4"/>
        <v/>
      </c>
      <c r="I95" s="26" t="str">
        <f t="shared" si="5"/>
        <v/>
      </c>
      <c r="AA95">
        <f>'Sprint W4'!F15</f>
        <v>0</v>
      </c>
      <c r="AB95">
        <f>IF(AA95="",0,IF(COUNTIF($AA$1:AA95,AA95)=1,1,0))</f>
        <v>0</v>
      </c>
      <c r="AC95" t="str">
        <f>IF(AB95=1,COUNTIF($AB$1:AB95,1),"")</f>
        <v/>
      </c>
    </row>
    <row r="96" spans="1:29" x14ac:dyDescent="0.25">
      <c r="A96" s="13" t="str">
        <f>IFERROR(INDEX($AA$1:$AA$125,MATCH(93,$AC$1:$AC$125,0)),"")</f>
        <v/>
      </c>
      <c r="B96" s="33"/>
      <c r="C96" s="15">
        <f>IF($A96="",0,COUNTIF('Sprint W1'!$B$12:$B$16,$A96)*5+COUNTIF('Sprint W1'!$C$12:$C$16,$A96)*4+COUNTIF('Sprint W1'!$D$12:$D$16,$A96)*3+COUNTIF('Sprint W1'!$E$12:$E$16,$A96)*2+COUNTIF('Sprint W1'!$F$12:$F$16,$A96)*1)</f>
        <v>0</v>
      </c>
      <c r="D96" s="15">
        <f>IF($A96="",0,COUNTIF('Sprint W2'!$B$12:$B$16,$A96)*5+COUNTIF('Sprint W2'!$C$12:$C$16,$A96)*4+COUNTIF('Sprint W2'!$D$12:$D$16,$A96)*3+COUNTIF('Sprint W2'!$E$12:$E$16,$A96)*2+COUNTIF('Sprint W2'!$F$12:$F$16,$A96)*1)</f>
        <v>0</v>
      </c>
      <c r="E96" s="15">
        <f>IF($A96="",0,COUNTIF('Sprint W3'!$B$12:$B$16,$A96)*5+COUNTIF('Sprint W3'!$C$12:$C$16,$A96)*4+COUNTIF('Sprint W3'!$D$12:$D$16,$A96)*3+COUNTIF('Sprint W3'!$E$12:$E$16,$A96)*2+COUNTIF('Sprint W3'!$F$12:$F$16,$A96)*1)</f>
        <v>0</v>
      </c>
      <c r="F96" s="15">
        <f>IF($A96="",0,COUNTIF('Sprint W4'!$B$12:$B$16,$A96)*5+COUNTIF('Sprint W4'!$C$12:$C$16,$A96)*4+COUNTIF('Sprint W4'!$D$12:$D$16,$A96)*3+COUNTIF('Sprint W4'!$E$12:$E$16,$A96)*2+COUNTIF('Sprint W4'!$F$12:$F$16,$A96)*1)</f>
        <v>0</v>
      </c>
      <c r="G96" s="15">
        <f>IF($A96="",0,COUNTIF('Sprint W5'!$B$12:$B$16,$A96)*5+COUNTIF('Sprint W5'!$C$12:$C$16,$A96)*4+COUNTIF('Sprint W5'!$D$12:$D$16,$A96)*3+COUNTIF('Sprint W5'!$E$12:$E$16,$A96)*2+COUNTIF('Sprint W5'!$F$12:$F$16,$A96)*1)</f>
        <v>0</v>
      </c>
      <c r="H96" s="25" t="str">
        <f t="shared" si="4"/>
        <v/>
      </c>
      <c r="I96" s="26" t="str">
        <f t="shared" si="5"/>
        <v/>
      </c>
      <c r="AA96">
        <f>'Sprint W4'!B16</f>
        <v>0</v>
      </c>
      <c r="AB96">
        <f>IF(AA96="",0,IF(COUNTIF($AA$1:AA96,AA96)=1,1,0))</f>
        <v>0</v>
      </c>
      <c r="AC96" t="str">
        <f>IF(AB96=1,COUNTIF($AB$1:AB96,1),"")</f>
        <v/>
      </c>
    </row>
    <row r="97" spans="1:29" x14ac:dyDescent="0.25">
      <c r="A97" s="13" t="str">
        <f>IFERROR(INDEX($AA$1:$AA$125,MATCH(94,$AC$1:$AC$125,0)),"")</f>
        <v/>
      </c>
      <c r="B97" s="33"/>
      <c r="C97" s="15">
        <f>IF($A97="",0,COUNTIF('Sprint W1'!$B$12:$B$16,$A97)*5+COUNTIF('Sprint W1'!$C$12:$C$16,$A97)*4+COUNTIF('Sprint W1'!$D$12:$D$16,$A97)*3+COUNTIF('Sprint W1'!$E$12:$E$16,$A97)*2+COUNTIF('Sprint W1'!$F$12:$F$16,$A97)*1)</f>
        <v>0</v>
      </c>
      <c r="D97" s="15">
        <f>IF($A97="",0,COUNTIF('Sprint W2'!$B$12:$B$16,$A97)*5+COUNTIF('Sprint W2'!$C$12:$C$16,$A97)*4+COUNTIF('Sprint W2'!$D$12:$D$16,$A97)*3+COUNTIF('Sprint W2'!$E$12:$E$16,$A97)*2+COUNTIF('Sprint W2'!$F$12:$F$16,$A97)*1)</f>
        <v>0</v>
      </c>
      <c r="E97" s="15">
        <f>IF($A97="",0,COUNTIF('Sprint W3'!$B$12:$B$16,$A97)*5+COUNTIF('Sprint W3'!$C$12:$C$16,$A97)*4+COUNTIF('Sprint W3'!$D$12:$D$16,$A97)*3+COUNTIF('Sprint W3'!$E$12:$E$16,$A97)*2+COUNTIF('Sprint W3'!$F$12:$F$16,$A97)*1)</f>
        <v>0</v>
      </c>
      <c r="F97" s="15">
        <f>IF($A97="",0,COUNTIF('Sprint W4'!$B$12:$B$16,$A97)*5+COUNTIF('Sprint W4'!$C$12:$C$16,$A97)*4+COUNTIF('Sprint W4'!$D$12:$D$16,$A97)*3+COUNTIF('Sprint W4'!$E$12:$E$16,$A97)*2+COUNTIF('Sprint W4'!$F$12:$F$16,$A97)*1)</f>
        <v>0</v>
      </c>
      <c r="G97" s="15">
        <f>IF($A97="",0,COUNTIF('Sprint W5'!$B$12:$B$16,$A97)*5+COUNTIF('Sprint W5'!$C$12:$C$16,$A97)*4+COUNTIF('Sprint W5'!$D$12:$D$16,$A97)*3+COUNTIF('Sprint W5'!$E$12:$E$16,$A97)*2+COUNTIF('Sprint W5'!$F$12:$F$16,$A97)*1)</f>
        <v>0</v>
      </c>
      <c r="H97" s="25" t="str">
        <f t="shared" si="4"/>
        <v/>
      </c>
      <c r="I97" s="26" t="str">
        <f t="shared" si="5"/>
        <v/>
      </c>
      <c r="AA97">
        <f>'Sprint W4'!C16</f>
        <v>0</v>
      </c>
      <c r="AB97">
        <f>IF(AA97="",0,IF(COUNTIF($AA$1:AA97,AA97)=1,1,0))</f>
        <v>0</v>
      </c>
      <c r="AC97" t="str">
        <f>IF(AB97=1,COUNTIF($AB$1:AB97,1),"")</f>
        <v/>
      </c>
    </row>
    <row r="98" spans="1:29" x14ac:dyDescent="0.25">
      <c r="A98" s="13" t="str">
        <f>IFERROR(INDEX($AA$1:$AA$125,MATCH(95,$AC$1:$AC$125,0)),"")</f>
        <v/>
      </c>
      <c r="B98" s="33"/>
      <c r="C98" s="15">
        <f>IF($A98="",0,COUNTIF('Sprint W1'!$B$12:$B$16,$A98)*5+COUNTIF('Sprint W1'!$C$12:$C$16,$A98)*4+COUNTIF('Sprint W1'!$D$12:$D$16,$A98)*3+COUNTIF('Sprint W1'!$E$12:$E$16,$A98)*2+COUNTIF('Sprint W1'!$F$12:$F$16,$A98)*1)</f>
        <v>0</v>
      </c>
      <c r="D98" s="15">
        <f>IF($A98="",0,COUNTIF('Sprint W2'!$B$12:$B$16,$A98)*5+COUNTIF('Sprint W2'!$C$12:$C$16,$A98)*4+COUNTIF('Sprint W2'!$D$12:$D$16,$A98)*3+COUNTIF('Sprint W2'!$E$12:$E$16,$A98)*2+COUNTIF('Sprint W2'!$F$12:$F$16,$A98)*1)</f>
        <v>0</v>
      </c>
      <c r="E98" s="15">
        <f>IF($A98="",0,COUNTIF('Sprint W3'!$B$12:$B$16,$A98)*5+COUNTIF('Sprint W3'!$C$12:$C$16,$A98)*4+COUNTIF('Sprint W3'!$D$12:$D$16,$A98)*3+COUNTIF('Sprint W3'!$E$12:$E$16,$A98)*2+COUNTIF('Sprint W3'!$F$12:$F$16,$A98)*1)</f>
        <v>0</v>
      </c>
      <c r="F98" s="15">
        <f>IF($A98="",0,COUNTIF('Sprint W4'!$B$12:$B$16,$A98)*5+COUNTIF('Sprint W4'!$C$12:$C$16,$A98)*4+COUNTIF('Sprint W4'!$D$12:$D$16,$A98)*3+COUNTIF('Sprint W4'!$E$12:$E$16,$A98)*2+COUNTIF('Sprint W4'!$F$12:$F$16,$A98)*1)</f>
        <v>0</v>
      </c>
      <c r="G98" s="15">
        <f>IF($A98="",0,COUNTIF('Sprint W5'!$B$12:$B$16,$A98)*5+COUNTIF('Sprint W5'!$C$12:$C$16,$A98)*4+COUNTIF('Sprint W5'!$D$12:$D$16,$A98)*3+COUNTIF('Sprint W5'!$E$12:$E$16,$A98)*2+COUNTIF('Sprint W5'!$F$12:$F$16,$A98)*1)</f>
        <v>0</v>
      </c>
      <c r="H98" s="25" t="str">
        <f t="shared" si="4"/>
        <v/>
      </c>
      <c r="I98" s="26" t="str">
        <f t="shared" si="5"/>
        <v/>
      </c>
      <c r="AA98">
        <f>'Sprint W4'!D16</f>
        <v>0</v>
      </c>
      <c r="AB98">
        <f>IF(AA98="",0,IF(COUNTIF($AA$1:AA98,AA98)=1,1,0))</f>
        <v>0</v>
      </c>
      <c r="AC98" t="str">
        <f>IF(AB98=1,COUNTIF($AB$1:AB98,1),"")</f>
        <v/>
      </c>
    </row>
    <row r="99" spans="1:29" x14ac:dyDescent="0.25">
      <c r="A99" s="13" t="str">
        <f>IFERROR(INDEX($AA$1:$AA$125,MATCH(96,$AC$1:$AC$125,0)),"")</f>
        <v/>
      </c>
      <c r="B99" s="33"/>
      <c r="C99" s="15">
        <f>IF($A99="",0,COUNTIF('Sprint W1'!$B$12:$B$16,$A99)*5+COUNTIF('Sprint W1'!$C$12:$C$16,$A99)*4+COUNTIF('Sprint W1'!$D$12:$D$16,$A99)*3+COUNTIF('Sprint W1'!$E$12:$E$16,$A99)*2+COUNTIF('Sprint W1'!$F$12:$F$16,$A99)*1)</f>
        <v>0</v>
      </c>
      <c r="D99" s="15">
        <f>IF($A99="",0,COUNTIF('Sprint W2'!$B$12:$B$16,$A99)*5+COUNTIF('Sprint W2'!$C$12:$C$16,$A99)*4+COUNTIF('Sprint W2'!$D$12:$D$16,$A99)*3+COUNTIF('Sprint W2'!$E$12:$E$16,$A99)*2+COUNTIF('Sprint W2'!$F$12:$F$16,$A99)*1)</f>
        <v>0</v>
      </c>
      <c r="E99" s="15">
        <f>IF($A99="",0,COUNTIF('Sprint W3'!$B$12:$B$16,$A99)*5+COUNTIF('Sprint W3'!$C$12:$C$16,$A99)*4+COUNTIF('Sprint W3'!$D$12:$D$16,$A99)*3+COUNTIF('Sprint W3'!$E$12:$E$16,$A99)*2+COUNTIF('Sprint W3'!$F$12:$F$16,$A99)*1)</f>
        <v>0</v>
      </c>
      <c r="F99" s="15">
        <f>IF($A99="",0,COUNTIF('Sprint W4'!$B$12:$B$16,$A99)*5+COUNTIF('Sprint W4'!$C$12:$C$16,$A99)*4+COUNTIF('Sprint W4'!$D$12:$D$16,$A99)*3+COUNTIF('Sprint W4'!$E$12:$E$16,$A99)*2+COUNTIF('Sprint W4'!$F$12:$F$16,$A99)*1)</f>
        <v>0</v>
      </c>
      <c r="G99" s="15">
        <f>IF($A99="",0,COUNTIF('Sprint W5'!$B$12:$B$16,$A99)*5+COUNTIF('Sprint W5'!$C$12:$C$16,$A99)*4+COUNTIF('Sprint W5'!$D$12:$D$16,$A99)*3+COUNTIF('Sprint W5'!$E$12:$E$16,$A99)*2+COUNTIF('Sprint W5'!$F$12:$F$16,$A99)*1)</f>
        <v>0</v>
      </c>
      <c r="H99" s="25" t="str">
        <f t="shared" si="4"/>
        <v/>
      </c>
      <c r="I99" s="26" t="str">
        <f t="shared" si="5"/>
        <v/>
      </c>
      <c r="AA99">
        <f>'Sprint W4'!E16</f>
        <v>0</v>
      </c>
      <c r="AB99">
        <f>IF(AA99="",0,IF(COUNTIF($AA$1:AA99,AA99)=1,1,0))</f>
        <v>0</v>
      </c>
      <c r="AC99" t="str">
        <f>IF(AB99=1,COUNTIF($AB$1:AB99,1),"")</f>
        <v/>
      </c>
    </row>
    <row r="100" spans="1:29" x14ac:dyDescent="0.25">
      <c r="A100" s="13" t="str">
        <f>IFERROR(INDEX($AA$1:$AA$125,MATCH(97,$AC$1:$AC$125,0)),"")</f>
        <v/>
      </c>
      <c r="B100" s="33"/>
      <c r="C100" s="15">
        <f>IF($A100="",0,COUNTIF('Sprint W1'!$B$12:$B$16,$A100)*5+COUNTIF('Sprint W1'!$C$12:$C$16,$A100)*4+COUNTIF('Sprint W1'!$D$12:$D$16,$A100)*3+COUNTIF('Sprint W1'!$E$12:$E$16,$A100)*2+COUNTIF('Sprint W1'!$F$12:$F$16,$A100)*1)</f>
        <v>0</v>
      </c>
      <c r="D100" s="15">
        <f>IF($A100="",0,COUNTIF('Sprint W2'!$B$12:$B$16,$A100)*5+COUNTIF('Sprint W2'!$C$12:$C$16,$A100)*4+COUNTIF('Sprint W2'!$D$12:$D$16,$A100)*3+COUNTIF('Sprint W2'!$E$12:$E$16,$A100)*2+COUNTIF('Sprint W2'!$F$12:$F$16,$A100)*1)</f>
        <v>0</v>
      </c>
      <c r="E100" s="15">
        <f>IF($A100="",0,COUNTIF('Sprint W3'!$B$12:$B$16,$A100)*5+COUNTIF('Sprint W3'!$C$12:$C$16,$A100)*4+COUNTIF('Sprint W3'!$D$12:$D$16,$A100)*3+COUNTIF('Sprint W3'!$E$12:$E$16,$A100)*2+COUNTIF('Sprint W3'!$F$12:$F$16,$A100)*1)</f>
        <v>0</v>
      </c>
      <c r="F100" s="15">
        <f>IF($A100="",0,COUNTIF('Sprint W4'!$B$12:$B$16,$A100)*5+COUNTIF('Sprint W4'!$C$12:$C$16,$A100)*4+COUNTIF('Sprint W4'!$D$12:$D$16,$A100)*3+COUNTIF('Sprint W4'!$E$12:$E$16,$A100)*2+COUNTIF('Sprint W4'!$F$12:$F$16,$A100)*1)</f>
        <v>0</v>
      </c>
      <c r="G100" s="15">
        <f>IF($A100="",0,COUNTIF('Sprint W5'!$B$12:$B$16,$A100)*5+COUNTIF('Sprint W5'!$C$12:$C$16,$A100)*4+COUNTIF('Sprint W5'!$D$12:$D$16,$A100)*3+COUNTIF('Sprint W5'!$E$12:$E$16,$A100)*2+COUNTIF('Sprint W5'!$F$12:$F$16,$A100)*1)</f>
        <v>0</v>
      </c>
      <c r="H100" s="25" t="str">
        <f t="shared" ref="H100:H103" si="6">IF($A100="","",C100+D100+E100+F100+G100)</f>
        <v/>
      </c>
      <c r="I100" s="26" t="str">
        <f t="shared" ref="I100:I103" si="7">IF(OR($A100="",H100="",H100=0),"",RANK(H100,$H$4:$H$103,0))</f>
        <v/>
      </c>
      <c r="AA100">
        <f>'Sprint W4'!F16</f>
        <v>0</v>
      </c>
      <c r="AB100">
        <f>IF(AA100="",0,IF(COUNTIF($AA$1:AA100,AA100)=1,1,0))</f>
        <v>0</v>
      </c>
      <c r="AC100" t="str">
        <f>IF(AB100=1,COUNTIF($AB$1:AB100,1),"")</f>
        <v/>
      </c>
    </row>
    <row r="101" spans="1:29" x14ac:dyDescent="0.25">
      <c r="A101" s="13" t="str">
        <f>IFERROR(INDEX($AA$1:$AA$125,MATCH(98,$AC$1:$AC$125,0)),"")</f>
        <v/>
      </c>
      <c r="B101" s="33"/>
      <c r="C101" s="15">
        <f>IF($A101="",0,COUNTIF('Sprint W1'!$B$12:$B$16,$A101)*5+COUNTIF('Sprint W1'!$C$12:$C$16,$A101)*4+COUNTIF('Sprint W1'!$D$12:$D$16,$A101)*3+COUNTIF('Sprint W1'!$E$12:$E$16,$A101)*2+COUNTIF('Sprint W1'!$F$12:$F$16,$A101)*1)</f>
        <v>0</v>
      </c>
      <c r="D101" s="15">
        <f>IF($A101="",0,COUNTIF('Sprint W2'!$B$12:$B$16,$A101)*5+COUNTIF('Sprint W2'!$C$12:$C$16,$A101)*4+COUNTIF('Sprint W2'!$D$12:$D$16,$A101)*3+COUNTIF('Sprint W2'!$E$12:$E$16,$A101)*2+COUNTIF('Sprint W2'!$F$12:$F$16,$A101)*1)</f>
        <v>0</v>
      </c>
      <c r="E101" s="15">
        <f>IF($A101="",0,COUNTIF('Sprint W3'!$B$12:$B$16,$A101)*5+COUNTIF('Sprint W3'!$C$12:$C$16,$A101)*4+COUNTIF('Sprint W3'!$D$12:$D$16,$A101)*3+COUNTIF('Sprint W3'!$E$12:$E$16,$A101)*2+COUNTIF('Sprint W3'!$F$12:$F$16,$A101)*1)</f>
        <v>0</v>
      </c>
      <c r="F101" s="15">
        <f>IF($A101="",0,COUNTIF('Sprint W4'!$B$12:$B$16,$A101)*5+COUNTIF('Sprint W4'!$C$12:$C$16,$A101)*4+COUNTIF('Sprint W4'!$D$12:$D$16,$A101)*3+COUNTIF('Sprint W4'!$E$12:$E$16,$A101)*2+COUNTIF('Sprint W4'!$F$12:$F$16,$A101)*1)</f>
        <v>0</v>
      </c>
      <c r="G101" s="15">
        <f>IF($A101="",0,COUNTIF('Sprint W5'!$B$12:$B$16,$A101)*5+COUNTIF('Sprint W5'!$C$12:$C$16,$A101)*4+COUNTIF('Sprint W5'!$D$12:$D$16,$A101)*3+COUNTIF('Sprint W5'!$E$12:$E$16,$A101)*2+COUNTIF('Sprint W5'!$F$12:$F$16,$A101)*1)</f>
        <v>0</v>
      </c>
      <c r="H101" s="25" t="str">
        <f t="shared" si="6"/>
        <v/>
      </c>
      <c r="I101" s="26" t="str">
        <f t="shared" si="7"/>
        <v/>
      </c>
      <c r="AA101">
        <f>'Sprint W5'!B12</f>
        <v>0</v>
      </c>
      <c r="AB101">
        <f>IF(AA101="",0,IF(COUNTIF($AA$1:AA101,AA101)=1,1,0))</f>
        <v>0</v>
      </c>
      <c r="AC101" t="str">
        <f>IF(AB101=1,COUNTIF($AB$1:AB101,1),"")</f>
        <v/>
      </c>
    </row>
    <row r="102" spans="1:29" x14ac:dyDescent="0.25">
      <c r="A102" s="13" t="str">
        <f>IFERROR(INDEX($AA$1:$AA$125,MATCH(99,$AC$1:$AC$125,0)),"")</f>
        <v/>
      </c>
      <c r="B102" s="33"/>
      <c r="C102" s="15">
        <f>IF($A102="",0,COUNTIF('Sprint W1'!$B$12:$B$16,$A102)*5+COUNTIF('Sprint W1'!$C$12:$C$16,$A102)*4+COUNTIF('Sprint W1'!$D$12:$D$16,$A102)*3+COUNTIF('Sprint W1'!$E$12:$E$16,$A102)*2+COUNTIF('Sprint W1'!$F$12:$F$16,$A102)*1)</f>
        <v>0</v>
      </c>
      <c r="D102" s="15">
        <f>IF($A102="",0,COUNTIF('Sprint W2'!$B$12:$B$16,$A102)*5+COUNTIF('Sprint W2'!$C$12:$C$16,$A102)*4+COUNTIF('Sprint W2'!$D$12:$D$16,$A102)*3+COUNTIF('Sprint W2'!$E$12:$E$16,$A102)*2+COUNTIF('Sprint W2'!$F$12:$F$16,$A102)*1)</f>
        <v>0</v>
      </c>
      <c r="E102" s="15">
        <f>IF($A102="",0,COUNTIF('Sprint W3'!$B$12:$B$16,$A102)*5+COUNTIF('Sprint W3'!$C$12:$C$16,$A102)*4+COUNTIF('Sprint W3'!$D$12:$D$16,$A102)*3+COUNTIF('Sprint W3'!$E$12:$E$16,$A102)*2+COUNTIF('Sprint W3'!$F$12:$F$16,$A102)*1)</f>
        <v>0</v>
      </c>
      <c r="F102" s="15">
        <f>IF($A102="",0,COUNTIF('Sprint W4'!$B$12:$B$16,$A102)*5+COUNTIF('Sprint W4'!$C$12:$C$16,$A102)*4+COUNTIF('Sprint W4'!$D$12:$D$16,$A102)*3+COUNTIF('Sprint W4'!$E$12:$E$16,$A102)*2+COUNTIF('Sprint W4'!$F$12:$F$16,$A102)*1)</f>
        <v>0</v>
      </c>
      <c r="G102" s="15">
        <f>IF($A102="",0,COUNTIF('Sprint W5'!$B$12:$B$16,$A102)*5+COUNTIF('Sprint W5'!$C$12:$C$16,$A102)*4+COUNTIF('Sprint W5'!$D$12:$D$16,$A102)*3+COUNTIF('Sprint W5'!$E$12:$E$16,$A102)*2+COUNTIF('Sprint W5'!$F$12:$F$16,$A102)*1)</f>
        <v>0</v>
      </c>
      <c r="H102" s="25" t="str">
        <f t="shared" si="6"/>
        <v/>
      </c>
      <c r="I102" s="26" t="str">
        <f t="shared" si="7"/>
        <v/>
      </c>
      <c r="AA102">
        <f>'Sprint W5'!C12</f>
        <v>0</v>
      </c>
      <c r="AB102">
        <f>IF(AA102="",0,IF(COUNTIF($AA$1:AA102,AA102)=1,1,0))</f>
        <v>0</v>
      </c>
      <c r="AC102" t="str">
        <f>IF(AB102=1,COUNTIF($AB$1:AB102,1),"")</f>
        <v/>
      </c>
    </row>
    <row r="103" spans="1:29" x14ac:dyDescent="0.25">
      <c r="A103" s="13" t="str">
        <f>IFERROR(INDEX($AA$1:$AA$125,MATCH(100,$AC$1:$AC$125,0)),"")</f>
        <v/>
      </c>
      <c r="B103" s="33"/>
      <c r="C103" s="15">
        <f>IF($A103="",0,COUNTIF('Sprint W1'!$B$12:$B$16,$A103)*5+COUNTIF('Sprint W1'!$C$12:$C$16,$A103)*4+COUNTIF('Sprint W1'!$D$12:$D$16,$A103)*3+COUNTIF('Sprint W1'!$E$12:$E$16,$A103)*2+COUNTIF('Sprint W1'!$F$12:$F$16,$A103)*1)</f>
        <v>0</v>
      </c>
      <c r="D103" s="15">
        <f>IF($A103="",0,COUNTIF('Sprint W2'!$B$12:$B$16,$A103)*5+COUNTIF('Sprint W2'!$C$12:$C$16,$A103)*4+COUNTIF('Sprint W2'!$D$12:$D$16,$A103)*3+COUNTIF('Sprint W2'!$E$12:$E$16,$A103)*2+COUNTIF('Sprint W2'!$F$12:$F$16,$A103)*1)</f>
        <v>0</v>
      </c>
      <c r="E103" s="15">
        <f>IF($A103="",0,COUNTIF('Sprint W3'!$B$12:$B$16,$A103)*5+COUNTIF('Sprint W3'!$C$12:$C$16,$A103)*4+COUNTIF('Sprint W3'!$D$12:$D$16,$A103)*3+COUNTIF('Sprint W3'!$E$12:$E$16,$A103)*2+COUNTIF('Sprint W3'!$F$12:$F$16,$A103)*1)</f>
        <v>0</v>
      </c>
      <c r="F103" s="15">
        <f>IF($A103="",0,COUNTIF('Sprint W4'!$B$12:$B$16,$A103)*5+COUNTIF('Sprint W4'!$C$12:$C$16,$A103)*4+COUNTIF('Sprint W4'!$D$12:$D$16,$A103)*3+COUNTIF('Sprint W4'!$E$12:$E$16,$A103)*2+COUNTIF('Sprint W4'!$F$12:$F$16,$A103)*1)</f>
        <v>0</v>
      </c>
      <c r="G103" s="15">
        <f>IF($A103="",0,COUNTIF('Sprint W5'!$B$12:$B$16,$A103)*5+COUNTIF('Sprint W5'!$C$12:$C$16,$A103)*4+COUNTIF('Sprint W5'!$D$12:$D$16,$A103)*3+COUNTIF('Sprint W5'!$E$12:$E$16,$A103)*2+COUNTIF('Sprint W5'!$F$12:$F$16,$A103)*1)</f>
        <v>0</v>
      </c>
      <c r="H103" s="25" t="str">
        <f t="shared" si="6"/>
        <v/>
      </c>
      <c r="I103" s="26" t="str">
        <f t="shared" si="7"/>
        <v/>
      </c>
      <c r="AA103">
        <f>'Sprint W5'!D12</f>
        <v>0</v>
      </c>
      <c r="AB103">
        <f>IF(AA103="",0,IF(COUNTIF($AA$1:AA103,AA103)=1,1,0))</f>
        <v>0</v>
      </c>
      <c r="AC103" t="str">
        <f>IF(AB103=1,COUNTIF($AB$1:AB103,1),"")</f>
        <v/>
      </c>
    </row>
    <row r="104" spans="1:29" x14ac:dyDescent="0.25">
      <c r="AA104">
        <f>'Sprint W5'!E12</f>
        <v>0</v>
      </c>
      <c r="AB104">
        <f>IF(AA104="",0,IF(COUNTIF($AA$1:AA104,AA104)=1,1,0))</f>
        <v>0</v>
      </c>
      <c r="AC104" t="str">
        <f>IF(AB104=1,COUNTIF($AB$1:AB104,1),"")</f>
        <v/>
      </c>
    </row>
    <row r="105" spans="1:29" x14ac:dyDescent="0.25">
      <c r="AA105">
        <f>'Sprint W5'!F12</f>
        <v>0</v>
      </c>
      <c r="AB105">
        <f>IF(AA105="",0,IF(COUNTIF($AA$1:AA105,AA105)=1,1,0))</f>
        <v>0</v>
      </c>
      <c r="AC105" t="str">
        <f>IF(AB105=1,COUNTIF($AB$1:AB105,1),"")</f>
        <v/>
      </c>
    </row>
    <row r="106" spans="1:29" x14ac:dyDescent="0.25">
      <c r="AA106">
        <f>'Sprint W5'!B13</f>
        <v>0</v>
      </c>
      <c r="AB106">
        <f>IF(AA106="",0,IF(COUNTIF($AA$1:AA106,AA106)=1,1,0))</f>
        <v>0</v>
      </c>
      <c r="AC106" t="str">
        <f>IF(AB106=1,COUNTIF($AB$1:AB106,1),"")</f>
        <v/>
      </c>
    </row>
    <row r="107" spans="1:29" x14ac:dyDescent="0.25">
      <c r="AA107">
        <f>'Sprint W5'!C13</f>
        <v>0</v>
      </c>
      <c r="AB107">
        <f>IF(AA107="",0,IF(COUNTIF($AA$1:AA107,AA107)=1,1,0))</f>
        <v>0</v>
      </c>
      <c r="AC107" t="str">
        <f>IF(AB107=1,COUNTIF($AB$1:AB107,1),"")</f>
        <v/>
      </c>
    </row>
    <row r="108" spans="1:29" x14ac:dyDescent="0.25">
      <c r="AA108">
        <f>'Sprint W5'!D13</f>
        <v>0</v>
      </c>
      <c r="AB108">
        <f>IF(AA108="",0,IF(COUNTIF($AA$1:AA108,AA108)=1,1,0))</f>
        <v>0</v>
      </c>
      <c r="AC108" t="str">
        <f>IF(AB108=1,COUNTIF($AB$1:AB108,1),"")</f>
        <v/>
      </c>
    </row>
    <row r="109" spans="1:29" x14ac:dyDescent="0.25">
      <c r="AA109">
        <f>'Sprint W5'!E13</f>
        <v>0</v>
      </c>
      <c r="AB109">
        <f>IF(AA109="",0,IF(COUNTIF($AA$1:AA109,AA109)=1,1,0))</f>
        <v>0</v>
      </c>
      <c r="AC109" t="str">
        <f>IF(AB109=1,COUNTIF($AB$1:AB109,1),"")</f>
        <v/>
      </c>
    </row>
    <row r="110" spans="1:29" x14ac:dyDescent="0.25">
      <c r="AA110">
        <f>'Sprint W5'!F13</f>
        <v>0</v>
      </c>
      <c r="AB110">
        <f>IF(AA110="",0,IF(COUNTIF($AA$1:AA110,AA110)=1,1,0))</f>
        <v>0</v>
      </c>
      <c r="AC110" t="str">
        <f>IF(AB110=1,COUNTIF($AB$1:AB110,1),"")</f>
        <v/>
      </c>
    </row>
    <row r="111" spans="1:29" x14ac:dyDescent="0.25">
      <c r="AA111">
        <f>'Sprint W5'!B14</f>
        <v>0</v>
      </c>
      <c r="AB111">
        <f>IF(AA111="",0,IF(COUNTIF($AA$1:AA111,AA111)=1,1,0))</f>
        <v>0</v>
      </c>
      <c r="AC111" t="str">
        <f>IF(AB111=1,COUNTIF($AB$1:AB111,1),"")</f>
        <v/>
      </c>
    </row>
    <row r="112" spans="1:29" x14ac:dyDescent="0.25">
      <c r="AA112">
        <f>'Sprint W5'!C14</f>
        <v>0</v>
      </c>
      <c r="AB112">
        <f>IF(AA112="",0,IF(COUNTIF($AA$1:AA112,AA112)=1,1,0))</f>
        <v>0</v>
      </c>
      <c r="AC112" t="str">
        <f>IF(AB112=1,COUNTIF($AB$1:AB112,1),"")</f>
        <v/>
      </c>
    </row>
    <row r="113" spans="27:29" x14ac:dyDescent="0.25">
      <c r="AA113">
        <f>'Sprint W5'!D14</f>
        <v>0</v>
      </c>
      <c r="AB113">
        <f>IF(AA113="",0,IF(COUNTIF($AA$1:AA113,AA113)=1,1,0))</f>
        <v>0</v>
      </c>
      <c r="AC113" t="str">
        <f>IF(AB113=1,COUNTIF($AB$1:AB113,1),"")</f>
        <v/>
      </c>
    </row>
    <row r="114" spans="27:29" x14ac:dyDescent="0.25">
      <c r="AA114">
        <f>'Sprint W5'!E14</f>
        <v>0</v>
      </c>
      <c r="AB114">
        <f>IF(AA114="",0,IF(COUNTIF($AA$1:AA114,AA114)=1,1,0))</f>
        <v>0</v>
      </c>
      <c r="AC114" t="str">
        <f>IF(AB114=1,COUNTIF($AB$1:AB114,1),"")</f>
        <v/>
      </c>
    </row>
    <row r="115" spans="27:29" x14ac:dyDescent="0.25">
      <c r="AA115">
        <f>'Sprint W5'!F14</f>
        <v>0</v>
      </c>
      <c r="AB115">
        <f>IF(AA115="",0,IF(COUNTIF($AA$1:AA115,AA115)=1,1,0))</f>
        <v>0</v>
      </c>
      <c r="AC115" t="str">
        <f>IF(AB115=1,COUNTIF($AB$1:AB115,1),"")</f>
        <v/>
      </c>
    </row>
    <row r="116" spans="27:29" x14ac:dyDescent="0.25">
      <c r="AA116">
        <f>'Sprint W5'!B15</f>
        <v>0</v>
      </c>
      <c r="AB116">
        <f>IF(AA116="",0,IF(COUNTIF($AA$1:AA116,AA116)=1,1,0))</f>
        <v>0</v>
      </c>
      <c r="AC116" t="str">
        <f>IF(AB116=1,COUNTIF($AB$1:AB116,1),"")</f>
        <v/>
      </c>
    </row>
    <row r="117" spans="27:29" x14ac:dyDescent="0.25">
      <c r="AA117">
        <f>'Sprint W5'!C15</f>
        <v>0</v>
      </c>
      <c r="AB117">
        <f>IF(AA117="",0,IF(COUNTIF($AA$1:AA117,AA117)=1,1,0))</f>
        <v>0</v>
      </c>
      <c r="AC117" t="str">
        <f>IF(AB117=1,COUNTIF($AB$1:AB117,1),"")</f>
        <v/>
      </c>
    </row>
    <row r="118" spans="27:29" x14ac:dyDescent="0.25">
      <c r="AA118">
        <f>'Sprint W5'!D15</f>
        <v>0</v>
      </c>
      <c r="AB118">
        <f>IF(AA118="",0,IF(COUNTIF($AA$1:AA118,AA118)=1,1,0))</f>
        <v>0</v>
      </c>
      <c r="AC118" t="str">
        <f>IF(AB118=1,COUNTIF($AB$1:AB118,1),"")</f>
        <v/>
      </c>
    </row>
    <row r="119" spans="27:29" x14ac:dyDescent="0.25">
      <c r="AA119">
        <f>'Sprint W5'!E15</f>
        <v>0</v>
      </c>
      <c r="AB119">
        <f>IF(AA119="",0,IF(COUNTIF($AA$1:AA119,AA119)=1,1,0))</f>
        <v>0</v>
      </c>
      <c r="AC119" t="str">
        <f>IF(AB119=1,COUNTIF($AB$1:AB119,1),"")</f>
        <v/>
      </c>
    </row>
    <row r="120" spans="27:29" x14ac:dyDescent="0.25">
      <c r="AA120">
        <f>'Sprint W5'!F15</f>
        <v>0</v>
      </c>
      <c r="AB120">
        <f>IF(AA120="",0,IF(COUNTIF($AA$1:AA120,AA120)=1,1,0))</f>
        <v>0</v>
      </c>
      <c r="AC120" t="str">
        <f>IF(AB120=1,COUNTIF($AB$1:AB120,1),"")</f>
        <v/>
      </c>
    </row>
    <row r="121" spans="27:29" x14ac:dyDescent="0.25">
      <c r="AA121">
        <f>'Sprint W5'!B16</f>
        <v>0</v>
      </c>
      <c r="AB121">
        <f>IF(AA121="",0,IF(COUNTIF($AA$1:AA121,AA121)=1,1,0))</f>
        <v>0</v>
      </c>
      <c r="AC121" t="str">
        <f>IF(AB121=1,COUNTIF($AB$1:AB121,1),"")</f>
        <v/>
      </c>
    </row>
    <row r="122" spans="27:29" x14ac:dyDescent="0.25">
      <c r="AA122">
        <f>'Sprint W5'!C16</f>
        <v>0</v>
      </c>
      <c r="AB122">
        <f>IF(AA122="",0,IF(COUNTIF($AA$1:AA122,AA122)=1,1,0))</f>
        <v>0</v>
      </c>
      <c r="AC122" t="str">
        <f>IF(AB122=1,COUNTIF($AB$1:AB122,1),"")</f>
        <v/>
      </c>
    </row>
    <row r="123" spans="27:29" x14ac:dyDescent="0.25">
      <c r="AA123">
        <f>'Sprint W5'!D16</f>
        <v>0</v>
      </c>
      <c r="AB123">
        <f>IF(AA123="",0,IF(COUNTIF($AA$1:AA123,AA123)=1,1,0))</f>
        <v>0</v>
      </c>
      <c r="AC123" t="str">
        <f>IF(AB123=1,COUNTIF($AB$1:AB123,1),"")</f>
        <v/>
      </c>
    </row>
    <row r="124" spans="27:29" x14ac:dyDescent="0.25">
      <c r="AA124">
        <f>'Sprint W5'!E16</f>
        <v>0</v>
      </c>
      <c r="AB124">
        <f>IF(AA124="",0,IF(COUNTIF($AA$1:AA124,AA124)=1,1,0))</f>
        <v>0</v>
      </c>
      <c r="AC124" t="str">
        <f>IF(AB124=1,COUNTIF($AB$1:AB124,1),"")</f>
        <v/>
      </c>
    </row>
    <row r="125" spans="27:29" x14ac:dyDescent="0.25">
      <c r="AA125">
        <f>'Sprint W5'!F16</f>
        <v>0</v>
      </c>
      <c r="AB125">
        <f>IF(AA125="",0,IF(COUNTIF($AA$1:AA125,AA125)=1,1,0))</f>
        <v>0</v>
      </c>
      <c r="AC125" t="str">
        <f>IF(AB125=1,COUNTIF($AB$1:AB125,1),"")</f>
        <v/>
      </c>
    </row>
  </sheetData>
  <autoFilter ref="A3:I103" xr:uid="{00000000-0009-0000-0000-000010000000}"/>
  <sortState xmlns:xlrd2="http://schemas.microsoft.com/office/spreadsheetml/2017/richdata2" ref="A4:I125">
    <sortCondition ref="I3:I125"/>
  </sortState>
  <mergeCells count="2">
    <mergeCell ref="A1:I1"/>
    <mergeCell ref="A2:I2"/>
  </mergeCells>
  <pageMargins left="0.75" right="0.75" top="1" bottom="1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C125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3" sqref="I1:I1048576"/>
    </sheetView>
  </sheetViews>
  <sheetFormatPr defaultColWidth="8.7109375" defaultRowHeight="15" x14ac:dyDescent="0.25"/>
  <cols>
    <col min="1" max="1" width="28" customWidth="1"/>
    <col min="2" max="2" width="24" customWidth="1"/>
    <col min="3" max="7" width="8" customWidth="1"/>
    <col min="8" max="9" width="10" customWidth="1"/>
    <col min="27" max="29" width="13" hidden="1" customWidth="1"/>
  </cols>
  <sheetData>
    <row r="1" spans="1:29" ht="18" x14ac:dyDescent="0.25">
      <c r="A1" s="46" t="s">
        <v>184</v>
      </c>
      <c r="B1" s="46"/>
      <c r="C1" s="46"/>
      <c r="D1" s="46"/>
      <c r="E1" s="46"/>
      <c r="F1" s="46"/>
      <c r="G1" s="46"/>
      <c r="H1" s="46"/>
      <c r="I1" s="46"/>
      <c r="AA1">
        <f>'Sprint W1'!B20</f>
        <v>0</v>
      </c>
      <c r="AB1">
        <f>IF(AA1="",0,IF(COUNTIF($AA$1:AA1,AA1)=1,1,0))</f>
        <v>1</v>
      </c>
      <c r="AC1">
        <f>IF(AB1=1,COUNTIF($AB$1:AB1,1),"")</f>
        <v>1</v>
      </c>
    </row>
    <row r="2" spans="1:29" x14ac:dyDescent="0.25">
      <c r="A2" s="43" t="s">
        <v>177</v>
      </c>
      <c r="B2" s="43"/>
      <c r="C2" s="43"/>
      <c r="D2" s="43"/>
      <c r="E2" s="43"/>
      <c r="F2" s="43"/>
      <c r="G2" s="43"/>
      <c r="H2" s="43"/>
      <c r="I2" s="43"/>
      <c r="AA2">
        <f>'Sprint W1'!C20</f>
        <v>0</v>
      </c>
      <c r="AB2">
        <f>IF(AA2="",0,IF(COUNTIF($AA$1:AA2,AA2)=1,1,0))</f>
        <v>0</v>
      </c>
      <c r="AC2" t="str">
        <f>IF(AB2=1,COUNTIF($AB$1:AB2,1),"")</f>
        <v/>
      </c>
    </row>
    <row r="3" spans="1:29" x14ac:dyDescent="0.25">
      <c r="A3" s="32" t="s">
        <v>27</v>
      </c>
      <c r="B3" s="32" t="s">
        <v>29</v>
      </c>
      <c r="C3" s="32" t="s">
        <v>178</v>
      </c>
      <c r="D3" s="32" t="s">
        <v>179</v>
      </c>
      <c r="E3" s="32" t="s">
        <v>180</v>
      </c>
      <c r="F3" s="32" t="s">
        <v>181</v>
      </c>
      <c r="G3" s="32" t="s">
        <v>182</v>
      </c>
      <c r="H3" s="32" t="s">
        <v>155</v>
      </c>
      <c r="I3" s="32" t="s">
        <v>25</v>
      </c>
      <c r="AA3">
        <f>'Sprint W1'!D20</f>
        <v>0</v>
      </c>
      <c r="AB3">
        <f>IF(AA3="",0,IF(COUNTIF($AA$1:AA3,AA3)=1,1,0))</f>
        <v>0</v>
      </c>
      <c r="AC3" t="str">
        <f>IF(AB3=1,COUNTIF($AB$1:AB3,1),"")</f>
        <v/>
      </c>
    </row>
    <row r="4" spans="1:29" x14ac:dyDescent="0.25">
      <c r="A4" s="13" t="str">
        <f>IFERROR(INDEX($AA$1:$AA$125,MATCH(2,$AC$1:$AC$125,0)),"")</f>
        <v>Benjamin van der Sar</v>
      </c>
      <c r="B4" s="33"/>
      <c r="C4" s="15">
        <f>IF($A4="",0,COUNTIF('Sprint W1'!$B$20:$B$24,$A4)*5+COUNTIF('Sprint W1'!$C$20:$C$24,$A4)*4+COUNTIF('Sprint W1'!$D$20:$D$24,$A4)*3+COUNTIF('Sprint W1'!$E$20:$E$24,$A4)*2+COUNTIF('Sprint W1'!$F$20:$F$24,$A4)*1)</f>
        <v>0</v>
      </c>
      <c r="D4" s="15">
        <f>IF($A4="",0,COUNTIF('Sprint W2'!$B$20:$B$24,$A4)*5+COUNTIF('Sprint W2'!$C$20:$C$24,$A4)*4+COUNTIF('Sprint W2'!$D$20:$D$24,$A4)*3+COUNTIF('Sprint W2'!$E$20:$E$24,$A4)*2+COUNTIF('Sprint W2'!$F$20:$F$24,$A4)*1)</f>
        <v>15</v>
      </c>
      <c r="E4" s="15">
        <f>IF($A4="",0,COUNTIF('Sprint W3'!$B$20:$B$24,$A4)*5+COUNTIF('Sprint W3'!$C$20:$C$24,$A4)*4+COUNTIF('Sprint W3'!$D$20:$D$24,$A4)*3+COUNTIF('Sprint W3'!$E$20:$E$24,$A4)*2+COUNTIF('Sprint W3'!$F$20:$F$24,$A4)*1)</f>
        <v>0</v>
      </c>
      <c r="F4" s="15">
        <f>IF($A4="",0,COUNTIF('Sprint W4'!$B$20:$B$24,$A4)*5+COUNTIF('Sprint W4'!$C$20:$C$24,$A4)*4+COUNTIF('Sprint W4'!$D$20:$D$24,$A4)*3+COUNTIF('Sprint W4'!$E$20:$E$24,$A4)*2+COUNTIF('Sprint W4'!$F$20:$F$24,$A4)*1)</f>
        <v>0</v>
      </c>
      <c r="G4" s="15">
        <f>IF($A4="",0,COUNTIF('Sprint W5'!$B$20:$B$24,$A4)*5+COUNTIF('Sprint W5'!$C$20:$C$24,$A4)*4+COUNTIF('Sprint W5'!$D$20:$D$24,$A4)*3+COUNTIF('Sprint W5'!$E$20:$E$24,$A4)*2+COUNTIF('Sprint W5'!$F$20:$F$24,$A4)*1)</f>
        <v>0</v>
      </c>
      <c r="H4" s="25">
        <f t="shared" ref="H4:H35" si="0">IF($A4="","",C4+D4+E4+F4+G4)</f>
        <v>15</v>
      </c>
      <c r="I4" s="26">
        <f t="shared" ref="I4:I35" si="1">IF(OR($A4="",H4="",H4=0),"",RANK(H4,$H$4:$H$103,0))</f>
        <v>1</v>
      </c>
      <c r="AA4">
        <f>'Sprint W1'!E20</f>
        <v>0</v>
      </c>
      <c r="AB4">
        <f>IF(AA4="",0,IF(COUNTIF($AA$1:AA4,AA4)=1,1,0))</f>
        <v>0</v>
      </c>
      <c r="AC4" t="str">
        <f>IF(AB4=1,COUNTIF($AB$1:AB4,1),"")</f>
        <v/>
      </c>
    </row>
    <row r="5" spans="1:29" x14ac:dyDescent="0.25">
      <c r="A5" s="13" t="str">
        <f>IFERROR(INDEX($AA$1:$AA$125,MATCH(9,$AC$1:$AC$125,0)),"")</f>
        <v>Finn Klaus</v>
      </c>
      <c r="B5" s="33"/>
      <c r="C5" s="15">
        <f>IF($A5="",0,COUNTIF('Sprint W1'!$B$20:$B$24,$A5)*5+COUNTIF('Sprint W1'!$C$20:$C$24,$A5)*4+COUNTIF('Sprint W1'!$D$20:$D$24,$A5)*3+COUNTIF('Sprint W1'!$E$20:$E$24,$A5)*2+COUNTIF('Sprint W1'!$F$20:$F$24,$A5)*1)</f>
        <v>0</v>
      </c>
      <c r="D5" s="15">
        <f>IF($A5="",0,COUNTIF('Sprint W2'!$B$20:$B$24,$A5)*5+COUNTIF('Sprint W2'!$C$20:$C$24,$A5)*4+COUNTIF('Sprint W2'!$D$20:$D$24,$A5)*3+COUNTIF('Sprint W2'!$E$20:$E$24,$A5)*2+COUNTIF('Sprint W2'!$F$20:$F$24,$A5)*1)</f>
        <v>0</v>
      </c>
      <c r="E5" s="15">
        <f>IF($A5="",0,COUNTIF('Sprint W3'!$B$20:$B$24,$A5)*5+COUNTIF('Sprint W3'!$C$20:$C$24,$A5)*4+COUNTIF('Sprint W3'!$D$20:$D$24,$A5)*3+COUNTIF('Sprint W3'!$E$20:$E$24,$A5)*2+COUNTIF('Sprint W3'!$F$20:$F$24,$A5)*1)</f>
        <v>14</v>
      </c>
      <c r="F5" s="15">
        <f>IF($A5="",0,COUNTIF('Sprint W4'!$B$20:$B$24,$A5)*5+COUNTIF('Sprint W4'!$C$20:$C$24,$A5)*4+COUNTIF('Sprint W4'!$D$20:$D$24,$A5)*3+COUNTIF('Sprint W4'!$E$20:$E$24,$A5)*2+COUNTIF('Sprint W4'!$F$20:$F$24,$A5)*1)</f>
        <v>0</v>
      </c>
      <c r="G5" s="15">
        <f>IF($A5="",0,COUNTIF('Sprint W5'!$B$20:$B$24,$A5)*5+COUNTIF('Sprint W5'!$C$20:$C$24,$A5)*4+COUNTIF('Sprint W5'!$D$20:$D$24,$A5)*3+COUNTIF('Sprint W5'!$E$20:$E$24,$A5)*2+COUNTIF('Sprint W5'!$F$20:$F$24,$A5)*1)</f>
        <v>0</v>
      </c>
      <c r="H5" s="25">
        <f t="shared" si="0"/>
        <v>14</v>
      </c>
      <c r="I5" s="26">
        <f t="shared" si="1"/>
        <v>2</v>
      </c>
      <c r="AA5">
        <f>'Sprint W1'!F20</f>
        <v>0</v>
      </c>
      <c r="AB5">
        <f>IF(AA5="",0,IF(COUNTIF($AA$1:AA5,AA5)=1,1,0))</f>
        <v>0</v>
      </c>
      <c r="AC5" t="str">
        <f>IF(AB5=1,COUNTIF($AB$1:AB5,1),"")</f>
        <v/>
      </c>
    </row>
    <row r="6" spans="1:29" x14ac:dyDescent="0.25">
      <c r="A6" s="13" t="str">
        <f>IFERROR(INDEX($AA$1:$AA$125,MATCH(5,$AC$1:$AC$125,0)),"")</f>
        <v>Owen Chenault</v>
      </c>
      <c r="B6" s="33"/>
      <c r="C6" s="15">
        <f>IF($A6="",0,COUNTIF('Sprint W1'!$B$20:$B$24,$A6)*5+COUNTIF('Sprint W1'!$C$20:$C$24,$A6)*4+COUNTIF('Sprint W1'!$D$20:$D$24,$A6)*3+COUNTIF('Sprint W1'!$E$20:$E$24,$A6)*2+COUNTIF('Sprint W1'!$F$20:$F$24,$A6)*1)</f>
        <v>0</v>
      </c>
      <c r="D6" s="15">
        <f>IF($A6="",0,COUNTIF('Sprint W2'!$B$20:$B$24,$A6)*5+COUNTIF('Sprint W2'!$C$20:$C$24,$A6)*4+COUNTIF('Sprint W2'!$D$20:$D$24,$A6)*3+COUNTIF('Sprint W2'!$E$20:$E$24,$A6)*2+COUNTIF('Sprint W2'!$F$20:$F$24,$A6)*1)</f>
        <v>0</v>
      </c>
      <c r="E6" s="15">
        <f>IF($A6="",0,COUNTIF('Sprint W3'!$B$20:$B$24,$A6)*5+COUNTIF('Sprint W3'!$C$20:$C$24,$A6)*4+COUNTIF('Sprint W3'!$D$20:$D$24,$A6)*3+COUNTIF('Sprint W3'!$E$20:$E$24,$A6)*2+COUNTIF('Sprint W3'!$F$20:$F$24,$A6)*1)</f>
        <v>13</v>
      </c>
      <c r="F6" s="15">
        <f>IF($A6="",0,COUNTIF('Sprint W4'!$B$20:$B$24,$A6)*5+COUNTIF('Sprint W4'!$C$20:$C$24,$A6)*4+COUNTIF('Sprint W4'!$D$20:$D$24,$A6)*3+COUNTIF('Sprint W4'!$E$20:$E$24,$A6)*2+COUNTIF('Sprint W4'!$F$20:$F$24,$A6)*1)</f>
        <v>0</v>
      </c>
      <c r="G6" s="15">
        <f>IF($A6="",0,COUNTIF('Sprint W5'!$B$20:$B$24,$A6)*5+COUNTIF('Sprint W5'!$C$20:$C$24,$A6)*4+COUNTIF('Sprint W5'!$D$20:$D$24,$A6)*3+COUNTIF('Sprint W5'!$E$20:$E$24,$A6)*2+COUNTIF('Sprint W5'!$F$20:$F$24,$A6)*1)</f>
        <v>0</v>
      </c>
      <c r="H6" s="25">
        <f t="shared" si="0"/>
        <v>13</v>
      </c>
      <c r="I6" s="26">
        <f t="shared" si="1"/>
        <v>3</v>
      </c>
      <c r="AA6">
        <f>'Sprint W1'!B21</f>
        <v>0</v>
      </c>
      <c r="AB6">
        <f>IF(AA6="",0,IF(COUNTIF($AA$1:AA6,AA6)=1,1,0))</f>
        <v>0</v>
      </c>
      <c r="AC6" t="str">
        <f>IF(AB6=1,COUNTIF($AB$1:AB6,1),"")</f>
        <v/>
      </c>
    </row>
    <row r="7" spans="1:29" x14ac:dyDescent="0.25">
      <c r="A7" s="13" t="str">
        <f>IFERROR(INDEX($AA$1:$AA$125,MATCH(3,$AC$1:$AC$125,0)),"")</f>
        <v>Rens van Middelaar</v>
      </c>
      <c r="B7" s="33"/>
      <c r="C7" s="15">
        <f>IF($A7="",0,COUNTIF('Sprint W1'!$B$20:$B$24,$A7)*5+COUNTIF('Sprint W1'!$C$20:$C$24,$A7)*4+COUNTIF('Sprint W1'!$D$20:$D$24,$A7)*3+COUNTIF('Sprint W1'!$E$20:$E$24,$A7)*2+COUNTIF('Sprint W1'!$F$20:$F$24,$A7)*1)</f>
        <v>0</v>
      </c>
      <c r="D7" s="15">
        <f>IF($A7="",0,COUNTIF('Sprint W2'!$B$20:$B$24,$A7)*5+COUNTIF('Sprint W2'!$C$20:$C$24,$A7)*4+COUNTIF('Sprint W2'!$D$20:$D$24,$A7)*3+COUNTIF('Sprint W2'!$E$20:$E$24,$A7)*2+COUNTIF('Sprint W2'!$F$20:$F$24,$A7)*1)</f>
        <v>7</v>
      </c>
      <c r="E7" s="15">
        <f>IF($A7="",0,COUNTIF('Sprint W3'!$B$20:$B$24,$A7)*5+COUNTIF('Sprint W3'!$C$20:$C$24,$A7)*4+COUNTIF('Sprint W3'!$D$20:$D$24,$A7)*3+COUNTIF('Sprint W3'!$E$20:$E$24,$A7)*2+COUNTIF('Sprint W3'!$F$20:$F$24,$A7)*1)</f>
        <v>0</v>
      </c>
      <c r="F7" s="15">
        <f>IF($A7="",0,COUNTIF('Sprint W4'!$B$20:$B$24,$A7)*5+COUNTIF('Sprint W4'!$C$20:$C$24,$A7)*4+COUNTIF('Sprint W4'!$D$20:$D$24,$A7)*3+COUNTIF('Sprint W4'!$E$20:$E$24,$A7)*2+COUNTIF('Sprint W4'!$F$20:$F$24,$A7)*1)</f>
        <v>0</v>
      </c>
      <c r="G7" s="15">
        <f>IF($A7="",0,COUNTIF('Sprint W5'!$B$20:$B$24,$A7)*5+COUNTIF('Sprint W5'!$C$20:$C$24,$A7)*4+COUNTIF('Sprint W5'!$D$20:$D$24,$A7)*3+COUNTIF('Sprint W5'!$E$20:$E$24,$A7)*2+COUNTIF('Sprint W5'!$F$20:$F$24,$A7)*1)</f>
        <v>0</v>
      </c>
      <c r="H7" s="25">
        <f t="shared" si="0"/>
        <v>7</v>
      </c>
      <c r="I7" s="26">
        <f t="shared" si="1"/>
        <v>4</v>
      </c>
      <c r="AA7">
        <f>'Sprint W1'!C21</f>
        <v>0</v>
      </c>
      <c r="AB7">
        <f>IF(AA7="",0,IF(COUNTIF($AA$1:AA7,AA7)=1,1,0))</f>
        <v>0</v>
      </c>
      <c r="AC7" t="str">
        <f>IF(AB7=1,COUNTIF($AB$1:AB7,1),"")</f>
        <v/>
      </c>
    </row>
    <row r="8" spans="1:29" x14ac:dyDescent="0.25">
      <c r="A8" s="13" t="str">
        <f>IFERROR(INDEX($AA$1:$AA$125,MATCH(4,$AC$1:$AC$125,0)),"")</f>
        <v>Stijn van Twiller</v>
      </c>
      <c r="B8" s="33"/>
      <c r="C8" s="15">
        <f>IF($A8="",0,COUNTIF('Sprint W1'!$B$20:$B$24,$A8)*5+COUNTIF('Sprint W1'!$C$20:$C$24,$A8)*4+COUNTIF('Sprint W1'!$D$20:$D$24,$A8)*3+COUNTIF('Sprint W1'!$E$20:$E$24,$A8)*2+COUNTIF('Sprint W1'!$F$20:$F$24,$A8)*1)</f>
        <v>0</v>
      </c>
      <c r="D8" s="15">
        <f>IF($A8="",0,COUNTIF('Sprint W2'!$B$20:$B$24,$A8)*5+COUNTIF('Sprint W2'!$C$20:$C$24,$A8)*4+COUNTIF('Sprint W2'!$D$20:$D$24,$A8)*3+COUNTIF('Sprint W2'!$E$20:$E$24,$A8)*2+COUNTIF('Sprint W2'!$F$20:$F$24,$A8)*1)</f>
        <v>6</v>
      </c>
      <c r="E8" s="15">
        <f>IF($A8="",0,COUNTIF('Sprint W3'!$B$20:$B$24,$A8)*5+COUNTIF('Sprint W3'!$C$20:$C$24,$A8)*4+COUNTIF('Sprint W3'!$D$20:$D$24,$A8)*3+COUNTIF('Sprint W3'!$E$20:$E$24,$A8)*2+COUNTIF('Sprint W3'!$F$20:$F$24,$A8)*1)</f>
        <v>0</v>
      </c>
      <c r="F8" s="15">
        <f>IF($A8="",0,COUNTIF('Sprint W4'!$B$20:$B$24,$A8)*5+COUNTIF('Sprint W4'!$C$20:$C$24,$A8)*4+COUNTIF('Sprint W4'!$D$20:$D$24,$A8)*3+COUNTIF('Sprint W4'!$E$20:$E$24,$A8)*2+COUNTIF('Sprint W4'!$F$20:$F$24,$A8)*1)</f>
        <v>0</v>
      </c>
      <c r="G8" s="15">
        <f>IF($A8="",0,COUNTIF('Sprint W5'!$B$20:$B$24,$A8)*5+COUNTIF('Sprint W5'!$C$20:$C$24,$A8)*4+COUNTIF('Sprint W5'!$D$20:$D$24,$A8)*3+COUNTIF('Sprint W5'!$E$20:$E$24,$A8)*2+COUNTIF('Sprint W5'!$F$20:$F$24,$A8)*1)</f>
        <v>0</v>
      </c>
      <c r="H8" s="25">
        <f t="shared" si="0"/>
        <v>6</v>
      </c>
      <c r="I8" s="26">
        <f t="shared" si="1"/>
        <v>5</v>
      </c>
      <c r="AA8">
        <f>'Sprint W1'!D21</f>
        <v>0</v>
      </c>
      <c r="AB8">
        <f>IF(AA8="",0,IF(COUNTIF($AA$1:AA8,AA8)=1,1,0))</f>
        <v>0</v>
      </c>
      <c r="AC8" t="str">
        <f>IF(AB8=1,COUNTIF($AB$1:AB8,1),"")</f>
        <v/>
      </c>
    </row>
    <row r="9" spans="1:29" x14ac:dyDescent="0.25">
      <c r="A9" s="13" t="str">
        <f>IFERROR(INDEX($AA$1:$AA$125,MATCH(11,$AC$1:$AC$125,0)),"")</f>
        <v>Tim Hommersom</v>
      </c>
      <c r="B9" s="33"/>
      <c r="C9" s="15">
        <f>IF($A9="",0,COUNTIF('Sprint W1'!$B$20:$B$24,$A9)*5+COUNTIF('Sprint W1'!$C$20:$C$24,$A9)*4+COUNTIF('Sprint W1'!$D$20:$D$24,$A9)*3+COUNTIF('Sprint W1'!$E$20:$E$24,$A9)*2+COUNTIF('Sprint W1'!$F$20:$F$24,$A9)*1)</f>
        <v>0</v>
      </c>
      <c r="D9" s="15">
        <f>IF($A9="",0,COUNTIF('Sprint W2'!$B$20:$B$24,$A9)*5+COUNTIF('Sprint W2'!$C$20:$C$24,$A9)*4+COUNTIF('Sprint W2'!$D$20:$D$24,$A9)*3+COUNTIF('Sprint W2'!$E$20:$E$24,$A9)*2+COUNTIF('Sprint W2'!$F$20:$F$24,$A9)*1)</f>
        <v>0</v>
      </c>
      <c r="E9" s="15">
        <f>IF($A9="",0,COUNTIF('Sprint W3'!$B$20:$B$24,$A9)*5+COUNTIF('Sprint W3'!$C$20:$C$24,$A9)*4+COUNTIF('Sprint W3'!$D$20:$D$24,$A9)*3+COUNTIF('Sprint W3'!$E$20:$E$24,$A9)*2+COUNTIF('Sprint W3'!$F$20:$F$24,$A9)*1)</f>
        <v>5</v>
      </c>
      <c r="F9" s="15">
        <f>IF($A9="",0,COUNTIF('Sprint W4'!$B$20:$B$24,$A9)*5+COUNTIF('Sprint W4'!$C$20:$C$24,$A9)*4+COUNTIF('Sprint W4'!$D$20:$D$24,$A9)*3+COUNTIF('Sprint W4'!$E$20:$E$24,$A9)*2+COUNTIF('Sprint W4'!$F$20:$F$24,$A9)*1)</f>
        <v>0</v>
      </c>
      <c r="G9" s="15">
        <f>IF($A9="",0,COUNTIF('Sprint W5'!$B$20:$B$24,$A9)*5+COUNTIF('Sprint W5'!$C$20:$C$24,$A9)*4+COUNTIF('Sprint W5'!$D$20:$D$24,$A9)*3+COUNTIF('Sprint W5'!$E$20:$E$24,$A9)*2+COUNTIF('Sprint W5'!$F$20:$F$24,$A9)*1)</f>
        <v>0</v>
      </c>
      <c r="H9" s="25">
        <f t="shared" si="0"/>
        <v>5</v>
      </c>
      <c r="I9" s="26">
        <f t="shared" si="1"/>
        <v>6</v>
      </c>
      <c r="AA9">
        <f>'Sprint W1'!E21</f>
        <v>0</v>
      </c>
      <c r="AB9">
        <f>IF(AA9="",0,IF(COUNTIF($AA$1:AA9,AA9)=1,1,0))</f>
        <v>0</v>
      </c>
      <c r="AC9" t="str">
        <f>IF(AB9=1,COUNTIF($AB$1:AB9,1),"")</f>
        <v/>
      </c>
    </row>
    <row r="10" spans="1:29" x14ac:dyDescent="0.25">
      <c r="A10" s="13" t="str">
        <f>IFERROR(INDEX($AA$1:$AA$125,MATCH(7,$AC$1:$AC$125,0)),"")</f>
        <v>levi van der Kaa</v>
      </c>
      <c r="B10" s="33"/>
      <c r="C10" s="15">
        <f>IF($A10="",0,COUNTIF('Sprint W1'!$B$20:$B$24,$A10)*5+COUNTIF('Sprint W1'!$C$20:$C$24,$A10)*4+COUNTIF('Sprint W1'!$D$20:$D$24,$A10)*3+COUNTIF('Sprint W1'!$E$20:$E$24,$A10)*2+COUNTIF('Sprint W1'!$F$20:$F$24,$A10)*1)</f>
        <v>0</v>
      </c>
      <c r="D10" s="15">
        <f>IF($A10="",0,COUNTIF('Sprint W2'!$B$20:$B$24,$A10)*5+COUNTIF('Sprint W2'!$C$20:$C$24,$A10)*4+COUNTIF('Sprint W2'!$D$20:$D$24,$A10)*3+COUNTIF('Sprint W2'!$E$20:$E$24,$A10)*2+COUNTIF('Sprint W2'!$F$20:$F$24,$A10)*1)</f>
        <v>0</v>
      </c>
      <c r="E10" s="15">
        <f>IF($A10="",0,COUNTIF('Sprint W3'!$B$20:$B$24,$A10)*5+COUNTIF('Sprint W3'!$C$20:$C$24,$A10)*4+COUNTIF('Sprint W3'!$D$20:$D$24,$A10)*3+COUNTIF('Sprint W3'!$E$20:$E$24,$A10)*2+COUNTIF('Sprint W3'!$F$20:$F$24,$A10)*1)</f>
        <v>4</v>
      </c>
      <c r="F10" s="15">
        <f>IF($A10="",0,COUNTIF('Sprint W4'!$B$20:$B$24,$A10)*5+COUNTIF('Sprint W4'!$C$20:$C$24,$A10)*4+COUNTIF('Sprint W4'!$D$20:$D$24,$A10)*3+COUNTIF('Sprint W4'!$E$20:$E$24,$A10)*2+COUNTIF('Sprint W4'!$F$20:$F$24,$A10)*1)</f>
        <v>0</v>
      </c>
      <c r="G10" s="15">
        <f>IF($A10="",0,COUNTIF('Sprint W5'!$B$20:$B$24,$A10)*5+COUNTIF('Sprint W5'!$C$20:$C$24,$A10)*4+COUNTIF('Sprint W5'!$D$20:$D$24,$A10)*3+COUNTIF('Sprint W5'!$E$20:$E$24,$A10)*2+COUNTIF('Sprint W5'!$F$20:$F$24,$A10)*1)</f>
        <v>0</v>
      </c>
      <c r="H10" s="25">
        <f t="shared" si="0"/>
        <v>4</v>
      </c>
      <c r="I10" s="26">
        <f t="shared" si="1"/>
        <v>7</v>
      </c>
      <c r="AA10">
        <f>'Sprint W1'!F21</f>
        <v>0</v>
      </c>
      <c r="AB10">
        <f>IF(AA10="",0,IF(COUNTIF($AA$1:AA10,AA10)=1,1,0))</f>
        <v>0</v>
      </c>
      <c r="AC10" t="str">
        <f>IF(AB10=1,COUNTIF($AB$1:AB10,1),"")</f>
        <v/>
      </c>
    </row>
    <row r="11" spans="1:29" x14ac:dyDescent="0.25">
      <c r="A11" s="13" t="str">
        <f>IFERROR(INDEX($AA$1:$AA$125,MATCH(6,$AC$1:$AC$125,0)),"")</f>
        <v>Floris Otto</v>
      </c>
      <c r="B11" s="33"/>
      <c r="C11" s="15">
        <f>IF($A11="",0,COUNTIF('Sprint W1'!$B$20:$B$24,$A11)*5+COUNTIF('Sprint W1'!$C$20:$C$24,$A11)*4+COUNTIF('Sprint W1'!$D$20:$D$24,$A11)*3+COUNTIF('Sprint W1'!$E$20:$E$24,$A11)*2+COUNTIF('Sprint W1'!$F$20:$F$24,$A11)*1)</f>
        <v>0</v>
      </c>
      <c r="D11" s="15">
        <f>IF($A11="",0,COUNTIF('Sprint W2'!$B$20:$B$24,$A11)*5+COUNTIF('Sprint W2'!$C$20:$C$24,$A11)*4+COUNTIF('Sprint W2'!$D$20:$D$24,$A11)*3+COUNTIF('Sprint W2'!$E$20:$E$24,$A11)*2+COUNTIF('Sprint W2'!$F$20:$F$24,$A11)*1)</f>
        <v>0</v>
      </c>
      <c r="E11" s="15">
        <f>IF($A11="",0,COUNTIF('Sprint W3'!$B$20:$B$24,$A11)*5+COUNTIF('Sprint W3'!$C$20:$C$24,$A11)*4+COUNTIF('Sprint W3'!$D$20:$D$24,$A11)*3+COUNTIF('Sprint W3'!$E$20:$E$24,$A11)*2+COUNTIF('Sprint W3'!$F$20:$F$24,$A11)*1)</f>
        <v>3</v>
      </c>
      <c r="F11" s="15">
        <f>IF($A11="",0,COUNTIF('Sprint W4'!$B$20:$B$24,$A11)*5+COUNTIF('Sprint W4'!$C$20:$C$24,$A11)*4+COUNTIF('Sprint W4'!$D$20:$D$24,$A11)*3+COUNTIF('Sprint W4'!$E$20:$E$24,$A11)*2+COUNTIF('Sprint W4'!$F$20:$F$24,$A11)*1)</f>
        <v>0</v>
      </c>
      <c r="G11" s="15">
        <f>IF($A11="",0,COUNTIF('Sprint W5'!$B$20:$B$24,$A11)*5+COUNTIF('Sprint W5'!$C$20:$C$24,$A11)*4+COUNTIF('Sprint W5'!$D$20:$D$24,$A11)*3+COUNTIF('Sprint W5'!$E$20:$E$24,$A11)*2+COUNTIF('Sprint W5'!$F$20:$F$24,$A11)*1)</f>
        <v>0</v>
      </c>
      <c r="H11" s="25">
        <f t="shared" si="0"/>
        <v>3</v>
      </c>
      <c r="I11" s="26">
        <f t="shared" si="1"/>
        <v>8</v>
      </c>
      <c r="AA11">
        <f>'Sprint W1'!B22</f>
        <v>0</v>
      </c>
      <c r="AB11">
        <f>IF(AA11="",0,IF(COUNTIF($AA$1:AA11,AA11)=1,1,0))</f>
        <v>0</v>
      </c>
      <c r="AC11" t="str">
        <f>IF(AB11=1,COUNTIF($AB$1:AB11,1),"")</f>
        <v/>
      </c>
    </row>
    <row r="12" spans="1:29" x14ac:dyDescent="0.25">
      <c r="A12" s="13" t="str">
        <f>IFERROR(INDEX($AA$1:$AA$125,MATCH(10,$AC$1:$AC$125,0)),"")</f>
        <v>Nick Snippe</v>
      </c>
      <c r="B12" s="33"/>
      <c r="C12" s="15">
        <f>IF($A12="",0,COUNTIF('Sprint W1'!$B$20:$B$24,$A12)*5+COUNTIF('Sprint W1'!$C$20:$C$24,$A12)*4+COUNTIF('Sprint W1'!$D$20:$D$24,$A12)*3+COUNTIF('Sprint W1'!$E$20:$E$24,$A12)*2+COUNTIF('Sprint W1'!$F$20:$F$24,$A12)*1)</f>
        <v>0</v>
      </c>
      <c r="D12" s="15">
        <f>IF($A12="",0,COUNTIF('Sprint W2'!$B$20:$B$24,$A12)*5+COUNTIF('Sprint W2'!$C$20:$C$24,$A12)*4+COUNTIF('Sprint W2'!$D$20:$D$24,$A12)*3+COUNTIF('Sprint W2'!$E$20:$E$24,$A12)*2+COUNTIF('Sprint W2'!$F$20:$F$24,$A12)*1)</f>
        <v>0</v>
      </c>
      <c r="E12" s="15">
        <f>IF($A12="",0,COUNTIF('Sprint W3'!$B$20:$B$24,$A12)*5+COUNTIF('Sprint W3'!$C$20:$C$24,$A12)*4+COUNTIF('Sprint W3'!$D$20:$D$24,$A12)*3+COUNTIF('Sprint W3'!$E$20:$E$24,$A12)*2+COUNTIF('Sprint W3'!$F$20:$F$24,$A12)*1)</f>
        <v>3</v>
      </c>
      <c r="F12" s="15">
        <f>IF($A12="",0,COUNTIF('Sprint W4'!$B$20:$B$24,$A12)*5+COUNTIF('Sprint W4'!$C$20:$C$24,$A12)*4+COUNTIF('Sprint W4'!$D$20:$D$24,$A12)*3+COUNTIF('Sprint W4'!$E$20:$E$24,$A12)*2+COUNTIF('Sprint W4'!$F$20:$F$24,$A12)*1)</f>
        <v>0</v>
      </c>
      <c r="G12" s="15">
        <f>IF($A12="",0,COUNTIF('Sprint W5'!$B$20:$B$24,$A12)*5+COUNTIF('Sprint W5'!$C$20:$C$24,$A12)*4+COUNTIF('Sprint W5'!$D$20:$D$24,$A12)*3+COUNTIF('Sprint W5'!$E$20:$E$24,$A12)*2+COUNTIF('Sprint W5'!$F$20:$F$24,$A12)*1)</f>
        <v>0</v>
      </c>
      <c r="H12" s="25">
        <f t="shared" si="0"/>
        <v>3</v>
      </c>
      <c r="I12" s="26">
        <f t="shared" si="1"/>
        <v>8</v>
      </c>
      <c r="AA12">
        <f>'Sprint W1'!C22</f>
        <v>0</v>
      </c>
      <c r="AB12">
        <f>IF(AA12="",0,IF(COUNTIF($AA$1:AA12,AA12)=1,1,0))</f>
        <v>0</v>
      </c>
      <c r="AC12" t="str">
        <f>IF(AB12=1,COUNTIF($AB$1:AB12,1),"")</f>
        <v/>
      </c>
    </row>
    <row r="13" spans="1:29" x14ac:dyDescent="0.25">
      <c r="A13" s="13" t="str">
        <f>IFERROR(INDEX($AA$1:$AA$125,MATCH(8,$AC$1:$AC$125,0)),"")</f>
        <v>Milan Docter</v>
      </c>
      <c r="B13" s="33"/>
      <c r="C13" s="15">
        <f>IF($A13="",0,COUNTIF('Sprint W1'!$B$20:$B$24,$A13)*5+COUNTIF('Sprint W1'!$C$20:$C$24,$A13)*4+COUNTIF('Sprint W1'!$D$20:$D$24,$A13)*3+COUNTIF('Sprint W1'!$E$20:$E$24,$A13)*2+COUNTIF('Sprint W1'!$F$20:$F$24,$A13)*1)</f>
        <v>0</v>
      </c>
      <c r="D13" s="15">
        <f>IF($A13="",0,COUNTIF('Sprint W2'!$B$20:$B$24,$A13)*5+COUNTIF('Sprint W2'!$C$20:$C$24,$A13)*4+COUNTIF('Sprint W2'!$D$20:$D$24,$A13)*3+COUNTIF('Sprint W2'!$E$20:$E$24,$A13)*2+COUNTIF('Sprint W2'!$F$20:$F$24,$A13)*1)</f>
        <v>0</v>
      </c>
      <c r="E13" s="15">
        <f>IF($A13="",0,COUNTIF('Sprint W3'!$B$20:$B$24,$A13)*5+COUNTIF('Sprint W3'!$C$20:$C$24,$A13)*4+COUNTIF('Sprint W3'!$D$20:$D$24,$A13)*3+COUNTIF('Sprint W3'!$E$20:$E$24,$A13)*2+COUNTIF('Sprint W3'!$F$20:$F$24,$A13)*1)</f>
        <v>2</v>
      </c>
      <c r="F13" s="15">
        <f>IF($A13="",0,COUNTIF('Sprint W4'!$B$20:$B$24,$A13)*5+COUNTIF('Sprint W4'!$C$20:$C$24,$A13)*4+COUNTIF('Sprint W4'!$D$20:$D$24,$A13)*3+COUNTIF('Sprint W4'!$E$20:$E$24,$A13)*2+COUNTIF('Sprint W4'!$F$20:$F$24,$A13)*1)</f>
        <v>0</v>
      </c>
      <c r="G13" s="15">
        <f>IF($A13="",0,COUNTIF('Sprint W5'!$B$20:$B$24,$A13)*5+COUNTIF('Sprint W5'!$C$20:$C$24,$A13)*4+COUNTIF('Sprint W5'!$D$20:$D$24,$A13)*3+COUNTIF('Sprint W5'!$E$20:$E$24,$A13)*2+COUNTIF('Sprint W5'!$F$20:$F$24,$A13)*1)</f>
        <v>0</v>
      </c>
      <c r="H13" s="25">
        <f t="shared" si="0"/>
        <v>2</v>
      </c>
      <c r="I13" s="26">
        <f t="shared" si="1"/>
        <v>10</v>
      </c>
      <c r="AA13">
        <f>'Sprint W1'!D22</f>
        <v>0</v>
      </c>
      <c r="AB13">
        <f>IF(AA13="",0,IF(COUNTIF($AA$1:AA13,AA13)=1,1,0))</f>
        <v>0</v>
      </c>
      <c r="AC13" t="str">
        <f>IF(AB13=1,COUNTIF($AB$1:AB13,1),"")</f>
        <v/>
      </c>
    </row>
    <row r="14" spans="1:29" x14ac:dyDescent="0.25">
      <c r="A14" s="13" t="str">
        <f>IFERROR(INDEX($AA$1:$AA$125,MATCH(12,$AC$1:$AC$125,0)),"")</f>
        <v>Thomas van Dijk</v>
      </c>
      <c r="B14" s="33"/>
      <c r="C14" s="15">
        <f>IF($A14="",0,COUNTIF('Sprint W1'!$B$20:$B$24,$A14)*5+COUNTIF('Sprint W1'!$C$20:$C$24,$A14)*4+COUNTIF('Sprint W1'!$D$20:$D$24,$A14)*3+COUNTIF('Sprint W1'!$E$20:$E$24,$A14)*2+COUNTIF('Sprint W1'!$F$20:$F$24,$A14)*1)</f>
        <v>0</v>
      </c>
      <c r="D14" s="15">
        <f>IF($A14="",0,COUNTIF('Sprint W2'!$B$20:$B$24,$A14)*5+COUNTIF('Sprint W2'!$C$20:$C$24,$A14)*4+COUNTIF('Sprint W2'!$D$20:$D$24,$A14)*3+COUNTIF('Sprint W2'!$E$20:$E$24,$A14)*2+COUNTIF('Sprint W2'!$F$20:$F$24,$A14)*1)</f>
        <v>0</v>
      </c>
      <c r="E14" s="15">
        <f>IF($A14="",0,COUNTIF('Sprint W3'!$B$20:$B$24,$A14)*5+COUNTIF('Sprint W3'!$C$20:$C$24,$A14)*4+COUNTIF('Sprint W3'!$D$20:$D$24,$A14)*3+COUNTIF('Sprint W3'!$E$20:$E$24,$A14)*2+COUNTIF('Sprint W3'!$F$20:$F$24,$A14)*1)</f>
        <v>1</v>
      </c>
      <c r="F14" s="15">
        <f>IF($A14="",0,COUNTIF('Sprint W4'!$B$20:$B$24,$A14)*5+COUNTIF('Sprint W4'!$C$20:$C$24,$A14)*4+COUNTIF('Sprint W4'!$D$20:$D$24,$A14)*3+COUNTIF('Sprint W4'!$E$20:$E$24,$A14)*2+COUNTIF('Sprint W4'!$F$20:$F$24,$A14)*1)</f>
        <v>0</v>
      </c>
      <c r="G14" s="15">
        <f>IF($A14="",0,COUNTIF('Sprint W5'!$B$20:$B$24,$A14)*5+COUNTIF('Sprint W5'!$C$20:$C$24,$A14)*4+COUNTIF('Sprint W5'!$D$20:$D$24,$A14)*3+COUNTIF('Sprint W5'!$E$20:$E$24,$A14)*2+COUNTIF('Sprint W5'!$F$20:$F$24,$A14)*1)</f>
        <v>0</v>
      </c>
      <c r="H14" s="25">
        <f t="shared" si="0"/>
        <v>1</v>
      </c>
      <c r="I14" s="26">
        <f t="shared" si="1"/>
        <v>11</v>
      </c>
      <c r="AA14">
        <f>'Sprint W1'!E22</f>
        <v>0</v>
      </c>
      <c r="AB14">
        <f>IF(AA14="",0,IF(COUNTIF($AA$1:AA14,AA14)=1,1,0))</f>
        <v>0</v>
      </c>
      <c r="AC14" t="str">
        <f>IF(AB14=1,COUNTIF($AB$1:AB14,1),"")</f>
        <v/>
      </c>
    </row>
    <row r="15" spans="1:29" x14ac:dyDescent="0.25">
      <c r="A15" s="13">
        <f>IFERROR(INDEX($AA$1:$AA$125,MATCH(1,$AC$1:$AC$125,0)),"")</f>
        <v>0</v>
      </c>
      <c r="B15" s="33"/>
      <c r="C15" s="15">
        <f>IF($A15="",0,COUNTIF('Sprint W1'!$B$20:$B$24,$A15)*5+COUNTIF('Sprint W1'!$C$20:$C$24,$A15)*4+COUNTIF('Sprint W1'!$D$20:$D$24,$A15)*3+COUNTIF('Sprint W1'!$E$20:$E$24,$A15)*2+COUNTIF('Sprint W1'!$F$20:$F$24,$A15)*1)</f>
        <v>0</v>
      </c>
      <c r="D15" s="15">
        <f>IF($A15="",0,COUNTIF('Sprint W2'!$B$20:$B$24,$A15)*5+COUNTIF('Sprint W2'!$C$20:$C$24,$A15)*4+COUNTIF('Sprint W2'!$D$20:$D$24,$A15)*3+COUNTIF('Sprint W2'!$E$20:$E$24,$A15)*2+COUNTIF('Sprint W2'!$F$20:$F$24,$A15)*1)</f>
        <v>0</v>
      </c>
      <c r="E15" s="15">
        <f>IF($A15="",0,COUNTIF('Sprint W3'!$B$20:$B$24,$A15)*5+COUNTIF('Sprint W3'!$C$20:$C$24,$A15)*4+COUNTIF('Sprint W3'!$D$20:$D$24,$A15)*3+COUNTIF('Sprint W3'!$E$20:$E$24,$A15)*2+COUNTIF('Sprint W3'!$F$20:$F$24,$A15)*1)</f>
        <v>0</v>
      </c>
      <c r="F15" s="15">
        <f>IF($A15="",0,COUNTIF('Sprint W4'!$B$20:$B$24,$A15)*5+COUNTIF('Sprint W4'!$C$20:$C$24,$A15)*4+COUNTIF('Sprint W4'!$D$20:$D$24,$A15)*3+COUNTIF('Sprint W4'!$E$20:$E$24,$A15)*2+COUNTIF('Sprint W4'!$F$20:$F$24,$A15)*1)</f>
        <v>0</v>
      </c>
      <c r="G15" s="15">
        <f>IF($A15="",0,COUNTIF('Sprint W5'!$B$20:$B$24,$A15)*5+COUNTIF('Sprint W5'!$C$20:$C$24,$A15)*4+COUNTIF('Sprint W5'!$D$20:$D$24,$A15)*3+COUNTIF('Sprint W5'!$E$20:$E$24,$A15)*2+COUNTIF('Sprint W5'!$F$20:$F$24,$A15)*1)</f>
        <v>0</v>
      </c>
      <c r="H15" s="25">
        <f t="shared" si="0"/>
        <v>0</v>
      </c>
      <c r="I15" s="26" t="str">
        <f t="shared" si="1"/>
        <v/>
      </c>
      <c r="AA15">
        <f>'Sprint W1'!F22</f>
        <v>0</v>
      </c>
      <c r="AB15">
        <f>IF(AA15="",0,IF(COUNTIF($AA$1:AA15,AA15)=1,1,0))</f>
        <v>0</v>
      </c>
      <c r="AC15" t="str">
        <f>IF(AB15=1,COUNTIF($AB$1:AB15,1),"")</f>
        <v/>
      </c>
    </row>
    <row r="16" spans="1:29" x14ac:dyDescent="0.25">
      <c r="A16" s="13" t="str">
        <f>IFERROR(INDEX($AA$1:$AA$125,MATCH(13,$AC$1:$AC$125,0)),"")</f>
        <v/>
      </c>
      <c r="B16" s="33"/>
      <c r="C16" s="15">
        <f>IF($A16="",0,COUNTIF('Sprint W1'!$B$20:$B$24,$A16)*5+COUNTIF('Sprint W1'!$C$20:$C$24,$A16)*4+COUNTIF('Sprint W1'!$D$20:$D$24,$A16)*3+COUNTIF('Sprint W1'!$E$20:$E$24,$A16)*2+COUNTIF('Sprint W1'!$F$20:$F$24,$A16)*1)</f>
        <v>0</v>
      </c>
      <c r="D16" s="15">
        <f>IF($A16="",0,COUNTIF('Sprint W2'!$B$20:$B$24,$A16)*5+COUNTIF('Sprint W2'!$C$20:$C$24,$A16)*4+COUNTIF('Sprint W2'!$D$20:$D$24,$A16)*3+COUNTIF('Sprint W2'!$E$20:$E$24,$A16)*2+COUNTIF('Sprint W2'!$F$20:$F$24,$A16)*1)</f>
        <v>0</v>
      </c>
      <c r="E16" s="15">
        <f>IF($A16="",0,COUNTIF('Sprint W3'!$B$20:$B$24,$A16)*5+COUNTIF('Sprint W3'!$C$20:$C$24,$A16)*4+COUNTIF('Sprint W3'!$D$20:$D$24,$A16)*3+COUNTIF('Sprint W3'!$E$20:$E$24,$A16)*2+COUNTIF('Sprint W3'!$F$20:$F$24,$A16)*1)</f>
        <v>0</v>
      </c>
      <c r="F16" s="15">
        <f>IF($A16="",0,COUNTIF('Sprint W4'!$B$20:$B$24,$A16)*5+COUNTIF('Sprint W4'!$C$20:$C$24,$A16)*4+COUNTIF('Sprint W4'!$D$20:$D$24,$A16)*3+COUNTIF('Sprint W4'!$E$20:$E$24,$A16)*2+COUNTIF('Sprint W4'!$F$20:$F$24,$A16)*1)</f>
        <v>0</v>
      </c>
      <c r="G16" s="15">
        <f>IF($A16="",0,COUNTIF('Sprint W5'!$B$20:$B$24,$A16)*5+COUNTIF('Sprint W5'!$C$20:$C$24,$A16)*4+COUNTIF('Sprint W5'!$D$20:$D$24,$A16)*3+COUNTIF('Sprint W5'!$E$20:$E$24,$A16)*2+COUNTIF('Sprint W5'!$F$20:$F$24,$A16)*1)</f>
        <v>0</v>
      </c>
      <c r="H16" s="25" t="str">
        <f t="shared" si="0"/>
        <v/>
      </c>
      <c r="I16" s="26" t="str">
        <f t="shared" si="1"/>
        <v/>
      </c>
      <c r="AA16">
        <f>'Sprint W1'!B23</f>
        <v>0</v>
      </c>
      <c r="AB16">
        <f>IF(AA16="",0,IF(COUNTIF($AA$1:AA16,AA16)=1,1,0))</f>
        <v>0</v>
      </c>
      <c r="AC16" t="str">
        <f>IF(AB16=1,COUNTIF($AB$1:AB16,1),"")</f>
        <v/>
      </c>
    </row>
    <row r="17" spans="1:29" x14ac:dyDescent="0.25">
      <c r="A17" s="13" t="str">
        <f>IFERROR(INDEX($AA$1:$AA$125,MATCH(14,$AC$1:$AC$125,0)),"")</f>
        <v/>
      </c>
      <c r="B17" s="33"/>
      <c r="C17" s="15">
        <f>IF($A17="",0,COUNTIF('Sprint W1'!$B$20:$B$24,$A17)*5+COUNTIF('Sprint W1'!$C$20:$C$24,$A17)*4+COUNTIF('Sprint W1'!$D$20:$D$24,$A17)*3+COUNTIF('Sprint W1'!$E$20:$E$24,$A17)*2+COUNTIF('Sprint W1'!$F$20:$F$24,$A17)*1)</f>
        <v>0</v>
      </c>
      <c r="D17" s="15">
        <f>IF($A17="",0,COUNTIF('Sprint W2'!$B$20:$B$24,$A17)*5+COUNTIF('Sprint W2'!$C$20:$C$24,$A17)*4+COUNTIF('Sprint W2'!$D$20:$D$24,$A17)*3+COUNTIF('Sprint W2'!$E$20:$E$24,$A17)*2+COUNTIF('Sprint W2'!$F$20:$F$24,$A17)*1)</f>
        <v>0</v>
      </c>
      <c r="E17" s="15">
        <f>IF($A17="",0,COUNTIF('Sprint W3'!$B$20:$B$24,$A17)*5+COUNTIF('Sprint W3'!$C$20:$C$24,$A17)*4+COUNTIF('Sprint W3'!$D$20:$D$24,$A17)*3+COUNTIF('Sprint W3'!$E$20:$E$24,$A17)*2+COUNTIF('Sprint W3'!$F$20:$F$24,$A17)*1)</f>
        <v>0</v>
      </c>
      <c r="F17" s="15">
        <f>IF($A17="",0,COUNTIF('Sprint W4'!$B$20:$B$24,$A17)*5+COUNTIF('Sprint W4'!$C$20:$C$24,$A17)*4+COUNTIF('Sprint W4'!$D$20:$D$24,$A17)*3+COUNTIF('Sprint W4'!$E$20:$E$24,$A17)*2+COUNTIF('Sprint W4'!$F$20:$F$24,$A17)*1)</f>
        <v>0</v>
      </c>
      <c r="G17" s="15">
        <f>IF($A17="",0,COUNTIF('Sprint W5'!$B$20:$B$24,$A17)*5+COUNTIF('Sprint W5'!$C$20:$C$24,$A17)*4+COUNTIF('Sprint W5'!$D$20:$D$24,$A17)*3+COUNTIF('Sprint W5'!$E$20:$E$24,$A17)*2+COUNTIF('Sprint W5'!$F$20:$F$24,$A17)*1)</f>
        <v>0</v>
      </c>
      <c r="H17" s="25" t="str">
        <f t="shared" si="0"/>
        <v/>
      </c>
      <c r="I17" s="26" t="str">
        <f t="shared" si="1"/>
        <v/>
      </c>
      <c r="AA17">
        <f>'Sprint W1'!C23</f>
        <v>0</v>
      </c>
      <c r="AB17">
        <f>IF(AA17="",0,IF(COUNTIF($AA$1:AA17,AA17)=1,1,0))</f>
        <v>0</v>
      </c>
      <c r="AC17" t="str">
        <f>IF(AB17=1,COUNTIF($AB$1:AB17,1),"")</f>
        <v/>
      </c>
    </row>
    <row r="18" spans="1:29" x14ac:dyDescent="0.25">
      <c r="A18" s="13" t="str">
        <f>IFERROR(INDEX($AA$1:$AA$125,MATCH(15,$AC$1:$AC$125,0)),"")</f>
        <v/>
      </c>
      <c r="B18" s="33"/>
      <c r="C18" s="15">
        <f>IF($A18="",0,COUNTIF('Sprint W1'!$B$20:$B$24,$A18)*5+COUNTIF('Sprint W1'!$C$20:$C$24,$A18)*4+COUNTIF('Sprint W1'!$D$20:$D$24,$A18)*3+COUNTIF('Sprint W1'!$E$20:$E$24,$A18)*2+COUNTIF('Sprint W1'!$F$20:$F$24,$A18)*1)</f>
        <v>0</v>
      </c>
      <c r="D18" s="15">
        <f>IF($A18="",0,COUNTIF('Sprint W2'!$B$20:$B$24,$A18)*5+COUNTIF('Sprint W2'!$C$20:$C$24,$A18)*4+COUNTIF('Sprint W2'!$D$20:$D$24,$A18)*3+COUNTIF('Sprint W2'!$E$20:$E$24,$A18)*2+COUNTIF('Sprint W2'!$F$20:$F$24,$A18)*1)</f>
        <v>0</v>
      </c>
      <c r="E18" s="15">
        <f>IF($A18="",0,COUNTIF('Sprint W3'!$B$20:$B$24,$A18)*5+COUNTIF('Sprint W3'!$C$20:$C$24,$A18)*4+COUNTIF('Sprint W3'!$D$20:$D$24,$A18)*3+COUNTIF('Sprint W3'!$E$20:$E$24,$A18)*2+COUNTIF('Sprint W3'!$F$20:$F$24,$A18)*1)</f>
        <v>0</v>
      </c>
      <c r="F18" s="15">
        <f>IF($A18="",0,COUNTIF('Sprint W4'!$B$20:$B$24,$A18)*5+COUNTIF('Sprint W4'!$C$20:$C$24,$A18)*4+COUNTIF('Sprint W4'!$D$20:$D$24,$A18)*3+COUNTIF('Sprint W4'!$E$20:$E$24,$A18)*2+COUNTIF('Sprint W4'!$F$20:$F$24,$A18)*1)</f>
        <v>0</v>
      </c>
      <c r="G18" s="15">
        <f>IF($A18="",0,COUNTIF('Sprint W5'!$B$20:$B$24,$A18)*5+COUNTIF('Sprint W5'!$C$20:$C$24,$A18)*4+COUNTIF('Sprint W5'!$D$20:$D$24,$A18)*3+COUNTIF('Sprint W5'!$E$20:$E$24,$A18)*2+COUNTIF('Sprint W5'!$F$20:$F$24,$A18)*1)</f>
        <v>0</v>
      </c>
      <c r="H18" s="25" t="str">
        <f t="shared" si="0"/>
        <v/>
      </c>
      <c r="I18" s="26" t="str">
        <f t="shared" si="1"/>
        <v/>
      </c>
      <c r="AA18">
        <f>'Sprint W1'!D23</f>
        <v>0</v>
      </c>
      <c r="AB18">
        <f>IF(AA18="",0,IF(COUNTIF($AA$1:AA18,AA18)=1,1,0))</f>
        <v>0</v>
      </c>
      <c r="AC18" t="str">
        <f>IF(AB18=1,COUNTIF($AB$1:AB18,1),"")</f>
        <v/>
      </c>
    </row>
    <row r="19" spans="1:29" x14ac:dyDescent="0.25">
      <c r="A19" s="13" t="str">
        <f>IFERROR(INDEX($AA$1:$AA$125,MATCH(16,$AC$1:$AC$125,0)),"")</f>
        <v/>
      </c>
      <c r="B19" s="33"/>
      <c r="C19" s="15">
        <f>IF($A19="",0,COUNTIF('Sprint W1'!$B$20:$B$24,$A19)*5+COUNTIF('Sprint W1'!$C$20:$C$24,$A19)*4+COUNTIF('Sprint W1'!$D$20:$D$24,$A19)*3+COUNTIF('Sprint W1'!$E$20:$E$24,$A19)*2+COUNTIF('Sprint W1'!$F$20:$F$24,$A19)*1)</f>
        <v>0</v>
      </c>
      <c r="D19" s="15">
        <f>IF($A19="",0,COUNTIF('Sprint W2'!$B$20:$B$24,$A19)*5+COUNTIF('Sprint W2'!$C$20:$C$24,$A19)*4+COUNTIF('Sprint W2'!$D$20:$D$24,$A19)*3+COUNTIF('Sprint W2'!$E$20:$E$24,$A19)*2+COUNTIF('Sprint W2'!$F$20:$F$24,$A19)*1)</f>
        <v>0</v>
      </c>
      <c r="E19" s="15">
        <f>IF($A19="",0,COUNTIF('Sprint W3'!$B$20:$B$24,$A19)*5+COUNTIF('Sprint W3'!$C$20:$C$24,$A19)*4+COUNTIF('Sprint W3'!$D$20:$D$24,$A19)*3+COUNTIF('Sprint W3'!$E$20:$E$24,$A19)*2+COUNTIF('Sprint W3'!$F$20:$F$24,$A19)*1)</f>
        <v>0</v>
      </c>
      <c r="F19" s="15">
        <f>IF($A19="",0,COUNTIF('Sprint W4'!$B$20:$B$24,$A19)*5+COUNTIF('Sprint W4'!$C$20:$C$24,$A19)*4+COUNTIF('Sprint W4'!$D$20:$D$24,$A19)*3+COUNTIF('Sprint W4'!$E$20:$E$24,$A19)*2+COUNTIF('Sprint W4'!$F$20:$F$24,$A19)*1)</f>
        <v>0</v>
      </c>
      <c r="G19" s="15">
        <f>IF($A19="",0,COUNTIF('Sprint W5'!$B$20:$B$24,$A19)*5+COUNTIF('Sprint W5'!$C$20:$C$24,$A19)*4+COUNTIF('Sprint W5'!$D$20:$D$24,$A19)*3+COUNTIF('Sprint W5'!$E$20:$E$24,$A19)*2+COUNTIF('Sprint W5'!$F$20:$F$24,$A19)*1)</f>
        <v>0</v>
      </c>
      <c r="H19" s="25" t="str">
        <f t="shared" si="0"/>
        <v/>
      </c>
      <c r="I19" s="26" t="str">
        <f t="shared" si="1"/>
        <v/>
      </c>
      <c r="AA19">
        <f>'Sprint W1'!E23</f>
        <v>0</v>
      </c>
      <c r="AB19">
        <f>IF(AA19="",0,IF(COUNTIF($AA$1:AA19,AA19)=1,1,0))</f>
        <v>0</v>
      </c>
      <c r="AC19" t="str">
        <f>IF(AB19=1,COUNTIF($AB$1:AB19,1),"")</f>
        <v/>
      </c>
    </row>
    <row r="20" spans="1:29" x14ac:dyDescent="0.25">
      <c r="A20" s="13" t="str">
        <f>IFERROR(INDEX($AA$1:$AA$125,MATCH(17,$AC$1:$AC$125,0)),"")</f>
        <v/>
      </c>
      <c r="B20" s="33"/>
      <c r="C20" s="15">
        <f>IF($A20="",0,COUNTIF('Sprint W1'!$B$20:$B$24,$A20)*5+COUNTIF('Sprint W1'!$C$20:$C$24,$A20)*4+COUNTIF('Sprint W1'!$D$20:$D$24,$A20)*3+COUNTIF('Sprint W1'!$E$20:$E$24,$A20)*2+COUNTIF('Sprint W1'!$F$20:$F$24,$A20)*1)</f>
        <v>0</v>
      </c>
      <c r="D20" s="15">
        <f>IF($A20="",0,COUNTIF('Sprint W2'!$B$20:$B$24,$A20)*5+COUNTIF('Sprint W2'!$C$20:$C$24,$A20)*4+COUNTIF('Sprint W2'!$D$20:$D$24,$A20)*3+COUNTIF('Sprint W2'!$E$20:$E$24,$A20)*2+COUNTIF('Sprint W2'!$F$20:$F$24,$A20)*1)</f>
        <v>0</v>
      </c>
      <c r="E20" s="15">
        <f>IF($A20="",0,COUNTIF('Sprint W3'!$B$20:$B$24,$A20)*5+COUNTIF('Sprint W3'!$C$20:$C$24,$A20)*4+COUNTIF('Sprint W3'!$D$20:$D$24,$A20)*3+COUNTIF('Sprint W3'!$E$20:$E$24,$A20)*2+COUNTIF('Sprint W3'!$F$20:$F$24,$A20)*1)</f>
        <v>0</v>
      </c>
      <c r="F20" s="15">
        <f>IF($A20="",0,COUNTIF('Sprint W4'!$B$20:$B$24,$A20)*5+COUNTIF('Sprint W4'!$C$20:$C$24,$A20)*4+COUNTIF('Sprint W4'!$D$20:$D$24,$A20)*3+COUNTIF('Sprint W4'!$E$20:$E$24,$A20)*2+COUNTIF('Sprint W4'!$F$20:$F$24,$A20)*1)</f>
        <v>0</v>
      </c>
      <c r="G20" s="15">
        <f>IF($A20="",0,COUNTIF('Sprint W5'!$B$20:$B$24,$A20)*5+COUNTIF('Sprint W5'!$C$20:$C$24,$A20)*4+COUNTIF('Sprint W5'!$D$20:$D$24,$A20)*3+COUNTIF('Sprint W5'!$E$20:$E$24,$A20)*2+COUNTIF('Sprint W5'!$F$20:$F$24,$A20)*1)</f>
        <v>0</v>
      </c>
      <c r="H20" s="25" t="str">
        <f t="shared" si="0"/>
        <v/>
      </c>
      <c r="I20" s="26" t="str">
        <f t="shared" si="1"/>
        <v/>
      </c>
      <c r="AA20">
        <f>'Sprint W1'!F23</f>
        <v>0</v>
      </c>
      <c r="AB20">
        <f>IF(AA20="",0,IF(COUNTIF($AA$1:AA20,AA20)=1,1,0))</f>
        <v>0</v>
      </c>
      <c r="AC20" t="str">
        <f>IF(AB20=1,COUNTIF($AB$1:AB20,1),"")</f>
        <v/>
      </c>
    </row>
    <row r="21" spans="1:29" x14ac:dyDescent="0.25">
      <c r="A21" s="13" t="str">
        <f>IFERROR(INDEX($AA$1:$AA$125,MATCH(18,$AC$1:$AC$125,0)),"")</f>
        <v/>
      </c>
      <c r="B21" s="33"/>
      <c r="C21" s="15">
        <f>IF($A21="",0,COUNTIF('Sprint W1'!$B$20:$B$24,$A21)*5+COUNTIF('Sprint W1'!$C$20:$C$24,$A21)*4+COUNTIF('Sprint W1'!$D$20:$D$24,$A21)*3+COUNTIF('Sprint W1'!$E$20:$E$24,$A21)*2+COUNTIF('Sprint W1'!$F$20:$F$24,$A21)*1)</f>
        <v>0</v>
      </c>
      <c r="D21" s="15">
        <f>IF($A21="",0,COUNTIF('Sprint W2'!$B$20:$B$24,$A21)*5+COUNTIF('Sprint W2'!$C$20:$C$24,$A21)*4+COUNTIF('Sprint W2'!$D$20:$D$24,$A21)*3+COUNTIF('Sprint W2'!$E$20:$E$24,$A21)*2+COUNTIF('Sprint W2'!$F$20:$F$24,$A21)*1)</f>
        <v>0</v>
      </c>
      <c r="E21" s="15">
        <f>IF($A21="",0,COUNTIF('Sprint W3'!$B$20:$B$24,$A21)*5+COUNTIF('Sprint W3'!$C$20:$C$24,$A21)*4+COUNTIF('Sprint W3'!$D$20:$D$24,$A21)*3+COUNTIF('Sprint W3'!$E$20:$E$24,$A21)*2+COUNTIF('Sprint W3'!$F$20:$F$24,$A21)*1)</f>
        <v>0</v>
      </c>
      <c r="F21" s="15">
        <f>IF($A21="",0,COUNTIF('Sprint W4'!$B$20:$B$24,$A21)*5+COUNTIF('Sprint W4'!$C$20:$C$24,$A21)*4+COUNTIF('Sprint W4'!$D$20:$D$24,$A21)*3+COUNTIF('Sprint W4'!$E$20:$E$24,$A21)*2+COUNTIF('Sprint W4'!$F$20:$F$24,$A21)*1)</f>
        <v>0</v>
      </c>
      <c r="G21" s="15">
        <f>IF($A21="",0,COUNTIF('Sprint W5'!$B$20:$B$24,$A21)*5+COUNTIF('Sprint W5'!$C$20:$C$24,$A21)*4+COUNTIF('Sprint W5'!$D$20:$D$24,$A21)*3+COUNTIF('Sprint W5'!$E$20:$E$24,$A21)*2+COUNTIF('Sprint W5'!$F$20:$F$24,$A21)*1)</f>
        <v>0</v>
      </c>
      <c r="H21" s="25" t="str">
        <f t="shared" si="0"/>
        <v/>
      </c>
      <c r="I21" s="26" t="str">
        <f t="shared" si="1"/>
        <v/>
      </c>
      <c r="AA21">
        <f>'Sprint W1'!B24</f>
        <v>0</v>
      </c>
      <c r="AB21">
        <f>IF(AA21="",0,IF(COUNTIF($AA$1:AA21,AA21)=1,1,0))</f>
        <v>0</v>
      </c>
      <c r="AC21" t="str">
        <f>IF(AB21=1,COUNTIF($AB$1:AB21,1),"")</f>
        <v/>
      </c>
    </row>
    <row r="22" spans="1:29" x14ac:dyDescent="0.25">
      <c r="A22" s="13" t="str">
        <f>IFERROR(INDEX($AA$1:$AA$125,MATCH(19,$AC$1:$AC$125,0)),"")</f>
        <v/>
      </c>
      <c r="B22" s="33"/>
      <c r="C22" s="15">
        <f>IF($A22="",0,COUNTIF('Sprint W1'!$B$20:$B$24,$A22)*5+COUNTIF('Sprint W1'!$C$20:$C$24,$A22)*4+COUNTIF('Sprint W1'!$D$20:$D$24,$A22)*3+COUNTIF('Sprint W1'!$E$20:$E$24,$A22)*2+COUNTIF('Sprint W1'!$F$20:$F$24,$A22)*1)</f>
        <v>0</v>
      </c>
      <c r="D22" s="15">
        <f>IF($A22="",0,COUNTIF('Sprint W2'!$B$20:$B$24,$A22)*5+COUNTIF('Sprint W2'!$C$20:$C$24,$A22)*4+COUNTIF('Sprint W2'!$D$20:$D$24,$A22)*3+COUNTIF('Sprint W2'!$E$20:$E$24,$A22)*2+COUNTIF('Sprint W2'!$F$20:$F$24,$A22)*1)</f>
        <v>0</v>
      </c>
      <c r="E22" s="15">
        <f>IF($A22="",0,COUNTIF('Sprint W3'!$B$20:$B$24,$A22)*5+COUNTIF('Sprint W3'!$C$20:$C$24,$A22)*4+COUNTIF('Sprint W3'!$D$20:$D$24,$A22)*3+COUNTIF('Sprint W3'!$E$20:$E$24,$A22)*2+COUNTIF('Sprint W3'!$F$20:$F$24,$A22)*1)</f>
        <v>0</v>
      </c>
      <c r="F22" s="15">
        <f>IF($A22="",0,COUNTIF('Sprint W4'!$B$20:$B$24,$A22)*5+COUNTIF('Sprint W4'!$C$20:$C$24,$A22)*4+COUNTIF('Sprint W4'!$D$20:$D$24,$A22)*3+COUNTIF('Sprint W4'!$E$20:$E$24,$A22)*2+COUNTIF('Sprint W4'!$F$20:$F$24,$A22)*1)</f>
        <v>0</v>
      </c>
      <c r="G22" s="15">
        <f>IF($A22="",0,COUNTIF('Sprint W5'!$B$20:$B$24,$A22)*5+COUNTIF('Sprint W5'!$C$20:$C$24,$A22)*4+COUNTIF('Sprint W5'!$D$20:$D$24,$A22)*3+COUNTIF('Sprint W5'!$E$20:$E$24,$A22)*2+COUNTIF('Sprint W5'!$F$20:$F$24,$A22)*1)</f>
        <v>0</v>
      </c>
      <c r="H22" s="25" t="str">
        <f t="shared" si="0"/>
        <v/>
      </c>
      <c r="I22" s="26" t="str">
        <f t="shared" si="1"/>
        <v/>
      </c>
      <c r="AA22">
        <f>'Sprint W1'!C24</f>
        <v>0</v>
      </c>
      <c r="AB22">
        <f>IF(AA22="",0,IF(COUNTIF($AA$1:AA22,AA22)=1,1,0))</f>
        <v>0</v>
      </c>
      <c r="AC22" t="str">
        <f>IF(AB22=1,COUNTIF($AB$1:AB22,1),"")</f>
        <v/>
      </c>
    </row>
    <row r="23" spans="1:29" x14ac:dyDescent="0.25">
      <c r="A23" s="13" t="str">
        <f>IFERROR(INDEX($AA$1:$AA$125,MATCH(20,$AC$1:$AC$125,0)),"")</f>
        <v/>
      </c>
      <c r="B23" s="33"/>
      <c r="C23" s="15">
        <f>IF($A23="",0,COUNTIF('Sprint W1'!$B$20:$B$24,$A23)*5+COUNTIF('Sprint W1'!$C$20:$C$24,$A23)*4+COUNTIF('Sprint W1'!$D$20:$D$24,$A23)*3+COUNTIF('Sprint W1'!$E$20:$E$24,$A23)*2+COUNTIF('Sprint W1'!$F$20:$F$24,$A23)*1)</f>
        <v>0</v>
      </c>
      <c r="D23" s="15">
        <f>IF($A23="",0,COUNTIF('Sprint W2'!$B$20:$B$24,$A23)*5+COUNTIF('Sprint W2'!$C$20:$C$24,$A23)*4+COUNTIF('Sprint W2'!$D$20:$D$24,$A23)*3+COUNTIF('Sprint W2'!$E$20:$E$24,$A23)*2+COUNTIF('Sprint W2'!$F$20:$F$24,$A23)*1)</f>
        <v>0</v>
      </c>
      <c r="E23" s="15">
        <f>IF($A23="",0,COUNTIF('Sprint W3'!$B$20:$B$24,$A23)*5+COUNTIF('Sprint W3'!$C$20:$C$24,$A23)*4+COUNTIF('Sprint W3'!$D$20:$D$24,$A23)*3+COUNTIF('Sprint W3'!$E$20:$E$24,$A23)*2+COUNTIF('Sprint W3'!$F$20:$F$24,$A23)*1)</f>
        <v>0</v>
      </c>
      <c r="F23" s="15">
        <f>IF($A23="",0,COUNTIF('Sprint W4'!$B$20:$B$24,$A23)*5+COUNTIF('Sprint W4'!$C$20:$C$24,$A23)*4+COUNTIF('Sprint W4'!$D$20:$D$24,$A23)*3+COUNTIF('Sprint W4'!$E$20:$E$24,$A23)*2+COUNTIF('Sprint W4'!$F$20:$F$24,$A23)*1)</f>
        <v>0</v>
      </c>
      <c r="G23" s="15">
        <f>IF($A23="",0,COUNTIF('Sprint W5'!$B$20:$B$24,$A23)*5+COUNTIF('Sprint W5'!$C$20:$C$24,$A23)*4+COUNTIF('Sprint W5'!$D$20:$D$24,$A23)*3+COUNTIF('Sprint W5'!$E$20:$E$24,$A23)*2+COUNTIF('Sprint W5'!$F$20:$F$24,$A23)*1)</f>
        <v>0</v>
      </c>
      <c r="H23" s="25" t="str">
        <f t="shared" si="0"/>
        <v/>
      </c>
      <c r="I23" s="26" t="str">
        <f t="shared" si="1"/>
        <v/>
      </c>
      <c r="AA23">
        <f>'Sprint W1'!D24</f>
        <v>0</v>
      </c>
      <c r="AB23">
        <f>IF(AA23="",0,IF(COUNTIF($AA$1:AA23,AA23)=1,1,0))</f>
        <v>0</v>
      </c>
      <c r="AC23" t="str">
        <f>IF(AB23=1,COUNTIF($AB$1:AB23,1),"")</f>
        <v/>
      </c>
    </row>
    <row r="24" spans="1:29" x14ac:dyDescent="0.25">
      <c r="A24" s="13" t="str">
        <f>IFERROR(INDEX($AA$1:$AA$125,MATCH(21,$AC$1:$AC$125,0)),"")</f>
        <v/>
      </c>
      <c r="B24" s="33"/>
      <c r="C24" s="15">
        <f>IF($A24="",0,COUNTIF('Sprint W1'!$B$20:$B$24,$A24)*5+COUNTIF('Sprint W1'!$C$20:$C$24,$A24)*4+COUNTIF('Sprint W1'!$D$20:$D$24,$A24)*3+COUNTIF('Sprint W1'!$E$20:$E$24,$A24)*2+COUNTIF('Sprint W1'!$F$20:$F$24,$A24)*1)</f>
        <v>0</v>
      </c>
      <c r="D24" s="15">
        <f>IF($A24="",0,COUNTIF('Sprint W2'!$B$20:$B$24,$A24)*5+COUNTIF('Sprint W2'!$C$20:$C$24,$A24)*4+COUNTIF('Sprint W2'!$D$20:$D$24,$A24)*3+COUNTIF('Sprint W2'!$E$20:$E$24,$A24)*2+COUNTIF('Sprint W2'!$F$20:$F$24,$A24)*1)</f>
        <v>0</v>
      </c>
      <c r="E24" s="15">
        <f>IF($A24="",0,COUNTIF('Sprint W3'!$B$20:$B$24,$A24)*5+COUNTIF('Sprint W3'!$C$20:$C$24,$A24)*4+COUNTIF('Sprint W3'!$D$20:$D$24,$A24)*3+COUNTIF('Sprint W3'!$E$20:$E$24,$A24)*2+COUNTIF('Sprint W3'!$F$20:$F$24,$A24)*1)</f>
        <v>0</v>
      </c>
      <c r="F24" s="15">
        <f>IF($A24="",0,COUNTIF('Sprint W4'!$B$20:$B$24,$A24)*5+COUNTIF('Sprint W4'!$C$20:$C$24,$A24)*4+COUNTIF('Sprint W4'!$D$20:$D$24,$A24)*3+COUNTIF('Sprint W4'!$E$20:$E$24,$A24)*2+COUNTIF('Sprint W4'!$F$20:$F$24,$A24)*1)</f>
        <v>0</v>
      </c>
      <c r="G24" s="15">
        <f>IF($A24="",0,COUNTIF('Sprint W5'!$B$20:$B$24,$A24)*5+COUNTIF('Sprint W5'!$C$20:$C$24,$A24)*4+COUNTIF('Sprint W5'!$D$20:$D$24,$A24)*3+COUNTIF('Sprint W5'!$E$20:$E$24,$A24)*2+COUNTIF('Sprint W5'!$F$20:$F$24,$A24)*1)</f>
        <v>0</v>
      </c>
      <c r="H24" s="25" t="str">
        <f t="shared" si="0"/>
        <v/>
      </c>
      <c r="I24" s="26" t="str">
        <f t="shared" si="1"/>
        <v/>
      </c>
      <c r="AA24">
        <f>'Sprint W1'!E24</f>
        <v>0</v>
      </c>
      <c r="AB24">
        <f>IF(AA24="",0,IF(COUNTIF($AA$1:AA24,AA24)=1,1,0))</f>
        <v>0</v>
      </c>
      <c r="AC24" t="str">
        <f>IF(AB24=1,COUNTIF($AB$1:AB24,1),"")</f>
        <v/>
      </c>
    </row>
    <row r="25" spans="1:29" x14ac:dyDescent="0.25">
      <c r="A25" s="13" t="str">
        <f>IFERROR(INDEX($AA$1:$AA$125,MATCH(22,$AC$1:$AC$125,0)),"")</f>
        <v/>
      </c>
      <c r="B25" s="33"/>
      <c r="C25" s="15">
        <f>IF($A25="",0,COUNTIF('Sprint W1'!$B$20:$B$24,$A25)*5+COUNTIF('Sprint W1'!$C$20:$C$24,$A25)*4+COUNTIF('Sprint W1'!$D$20:$D$24,$A25)*3+COUNTIF('Sprint W1'!$E$20:$E$24,$A25)*2+COUNTIF('Sprint W1'!$F$20:$F$24,$A25)*1)</f>
        <v>0</v>
      </c>
      <c r="D25" s="15">
        <f>IF($A25="",0,COUNTIF('Sprint W2'!$B$20:$B$24,$A25)*5+COUNTIF('Sprint W2'!$C$20:$C$24,$A25)*4+COUNTIF('Sprint W2'!$D$20:$D$24,$A25)*3+COUNTIF('Sprint W2'!$E$20:$E$24,$A25)*2+COUNTIF('Sprint W2'!$F$20:$F$24,$A25)*1)</f>
        <v>0</v>
      </c>
      <c r="E25" s="15">
        <f>IF($A25="",0,COUNTIF('Sprint W3'!$B$20:$B$24,$A25)*5+COUNTIF('Sprint W3'!$C$20:$C$24,$A25)*4+COUNTIF('Sprint W3'!$D$20:$D$24,$A25)*3+COUNTIF('Sprint W3'!$E$20:$E$24,$A25)*2+COUNTIF('Sprint W3'!$F$20:$F$24,$A25)*1)</f>
        <v>0</v>
      </c>
      <c r="F25" s="15">
        <f>IF($A25="",0,COUNTIF('Sprint W4'!$B$20:$B$24,$A25)*5+COUNTIF('Sprint W4'!$C$20:$C$24,$A25)*4+COUNTIF('Sprint W4'!$D$20:$D$24,$A25)*3+COUNTIF('Sprint W4'!$E$20:$E$24,$A25)*2+COUNTIF('Sprint W4'!$F$20:$F$24,$A25)*1)</f>
        <v>0</v>
      </c>
      <c r="G25" s="15">
        <f>IF($A25="",0,COUNTIF('Sprint W5'!$B$20:$B$24,$A25)*5+COUNTIF('Sprint W5'!$C$20:$C$24,$A25)*4+COUNTIF('Sprint W5'!$D$20:$D$24,$A25)*3+COUNTIF('Sprint W5'!$E$20:$E$24,$A25)*2+COUNTIF('Sprint W5'!$F$20:$F$24,$A25)*1)</f>
        <v>0</v>
      </c>
      <c r="H25" s="25" t="str">
        <f t="shared" si="0"/>
        <v/>
      </c>
      <c r="I25" s="26" t="str">
        <f t="shared" si="1"/>
        <v/>
      </c>
      <c r="AA25">
        <f>'Sprint W1'!F24</f>
        <v>0</v>
      </c>
      <c r="AB25">
        <f>IF(AA25="",0,IF(COUNTIF($AA$1:AA25,AA25)=1,1,0))</f>
        <v>0</v>
      </c>
      <c r="AC25" t="str">
        <f>IF(AB25=1,COUNTIF($AB$1:AB25,1),"")</f>
        <v/>
      </c>
    </row>
    <row r="26" spans="1:29" x14ac:dyDescent="0.25">
      <c r="A26" s="13" t="str">
        <f>IFERROR(INDEX($AA$1:$AA$125,MATCH(23,$AC$1:$AC$125,0)),"")</f>
        <v/>
      </c>
      <c r="B26" s="33"/>
      <c r="C26" s="15">
        <f>IF($A26="",0,COUNTIF('Sprint W1'!$B$20:$B$24,$A26)*5+COUNTIF('Sprint W1'!$C$20:$C$24,$A26)*4+COUNTIF('Sprint W1'!$D$20:$D$24,$A26)*3+COUNTIF('Sprint W1'!$E$20:$E$24,$A26)*2+COUNTIF('Sprint W1'!$F$20:$F$24,$A26)*1)</f>
        <v>0</v>
      </c>
      <c r="D26" s="15">
        <f>IF($A26="",0,COUNTIF('Sprint W2'!$B$20:$B$24,$A26)*5+COUNTIF('Sprint W2'!$C$20:$C$24,$A26)*4+COUNTIF('Sprint W2'!$D$20:$D$24,$A26)*3+COUNTIF('Sprint W2'!$E$20:$E$24,$A26)*2+COUNTIF('Sprint W2'!$F$20:$F$24,$A26)*1)</f>
        <v>0</v>
      </c>
      <c r="E26" s="15">
        <f>IF($A26="",0,COUNTIF('Sprint W3'!$B$20:$B$24,$A26)*5+COUNTIF('Sprint W3'!$C$20:$C$24,$A26)*4+COUNTIF('Sprint W3'!$D$20:$D$24,$A26)*3+COUNTIF('Sprint W3'!$E$20:$E$24,$A26)*2+COUNTIF('Sprint W3'!$F$20:$F$24,$A26)*1)</f>
        <v>0</v>
      </c>
      <c r="F26" s="15">
        <f>IF($A26="",0,COUNTIF('Sprint W4'!$B$20:$B$24,$A26)*5+COUNTIF('Sprint W4'!$C$20:$C$24,$A26)*4+COUNTIF('Sprint W4'!$D$20:$D$24,$A26)*3+COUNTIF('Sprint W4'!$E$20:$E$24,$A26)*2+COUNTIF('Sprint W4'!$F$20:$F$24,$A26)*1)</f>
        <v>0</v>
      </c>
      <c r="G26" s="15">
        <f>IF($A26="",0,COUNTIF('Sprint W5'!$B$20:$B$24,$A26)*5+COUNTIF('Sprint W5'!$C$20:$C$24,$A26)*4+COUNTIF('Sprint W5'!$D$20:$D$24,$A26)*3+COUNTIF('Sprint W5'!$E$20:$E$24,$A26)*2+COUNTIF('Sprint W5'!$F$20:$F$24,$A26)*1)</f>
        <v>0</v>
      </c>
      <c r="H26" s="25" t="str">
        <f t="shared" si="0"/>
        <v/>
      </c>
      <c r="I26" s="26" t="str">
        <f t="shared" si="1"/>
        <v/>
      </c>
      <c r="AA26" t="str">
        <f>'Sprint W2'!B20</f>
        <v>Benjamin van der Sar</v>
      </c>
      <c r="AB26">
        <f>IF(AA26="",0,IF(COUNTIF($AA$1:AA26,AA26)=1,1,0))</f>
        <v>1</v>
      </c>
      <c r="AC26">
        <f>IF(AB26=1,COUNTIF($AB$1:AB26,1),"")</f>
        <v>2</v>
      </c>
    </row>
    <row r="27" spans="1:29" x14ac:dyDescent="0.25">
      <c r="A27" s="13" t="str">
        <f>IFERROR(INDEX($AA$1:$AA$125,MATCH(24,$AC$1:$AC$125,0)),"")</f>
        <v/>
      </c>
      <c r="B27" s="33"/>
      <c r="C27" s="15">
        <f>IF($A27="",0,COUNTIF('Sprint W1'!$B$20:$B$24,$A27)*5+COUNTIF('Sprint W1'!$C$20:$C$24,$A27)*4+COUNTIF('Sprint W1'!$D$20:$D$24,$A27)*3+COUNTIF('Sprint W1'!$E$20:$E$24,$A27)*2+COUNTIF('Sprint W1'!$F$20:$F$24,$A27)*1)</f>
        <v>0</v>
      </c>
      <c r="D27" s="15">
        <f>IF($A27="",0,COUNTIF('Sprint W2'!$B$20:$B$24,$A27)*5+COUNTIF('Sprint W2'!$C$20:$C$24,$A27)*4+COUNTIF('Sprint W2'!$D$20:$D$24,$A27)*3+COUNTIF('Sprint W2'!$E$20:$E$24,$A27)*2+COUNTIF('Sprint W2'!$F$20:$F$24,$A27)*1)</f>
        <v>0</v>
      </c>
      <c r="E27" s="15">
        <f>IF($A27="",0,COUNTIF('Sprint W3'!$B$20:$B$24,$A27)*5+COUNTIF('Sprint W3'!$C$20:$C$24,$A27)*4+COUNTIF('Sprint W3'!$D$20:$D$24,$A27)*3+COUNTIF('Sprint W3'!$E$20:$E$24,$A27)*2+COUNTIF('Sprint W3'!$F$20:$F$24,$A27)*1)</f>
        <v>0</v>
      </c>
      <c r="F27" s="15">
        <f>IF($A27="",0,COUNTIF('Sprint W4'!$B$20:$B$24,$A27)*5+COUNTIF('Sprint W4'!$C$20:$C$24,$A27)*4+COUNTIF('Sprint W4'!$D$20:$D$24,$A27)*3+COUNTIF('Sprint W4'!$E$20:$E$24,$A27)*2+COUNTIF('Sprint W4'!$F$20:$F$24,$A27)*1)</f>
        <v>0</v>
      </c>
      <c r="G27" s="15">
        <f>IF($A27="",0,COUNTIF('Sprint W5'!$B$20:$B$24,$A27)*5+COUNTIF('Sprint W5'!$C$20:$C$24,$A27)*4+COUNTIF('Sprint W5'!$D$20:$D$24,$A27)*3+COUNTIF('Sprint W5'!$E$20:$E$24,$A27)*2+COUNTIF('Sprint W5'!$F$20:$F$24,$A27)*1)</f>
        <v>0</v>
      </c>
      <c r="H27" s="25" t="str">
        <f t="shared" si="0"/>
        <v/>
      </c>
      <c r="I27" s="26" t="str">
        <f t="shared" si="1"/>
        <v/>
      </c>
      <c r="AA27">
        <f>'Sprint W2'!C20</f>
        <v>0</v>
      </c>
      <c r="AB27">
        <f>IF(AA27="",0,IF(COUNTIF($AA$1:AA27,AA27)=1,1,0))</f>
        <v>0</v>
      </c>
      <c r="AC27" t="str">
        <f>IF(AB27=1,COUNTIF($AB$1:AB27,1),"")</f>
        <v/>
      </c>
    </row>
    <row r="28" spans="1:29" x14ac:dyDescent="0.25">
      <c r="A28" s="13" t="str">
        <f>IFERROR(INDEX($AA$1:$AA$125,MATCH(25,$AC$1:$AC$125,0)),"")</f>
        <v/>
      </c>
      <c r="B28" s="33"/>
      <c r="C28" s="15">
        <f>IF($A28="",0,COUNTIF('Sprint W1'!$B$20:$B$24,$A28)*5+COUNTIF('Sprint W1'!$C$20:$C$24,$A28)*4+COUNTIF('Sprint W1'!$D$20:$D$24,$A28)*3+COUNTIF('Sprint W1'!$E$20:$E$24,$A28)*2+COUNTIF('Sprint W1'!$F$20:$F$24,$A28)*1)</f>
        <v>0</v>
      </c>
      <c r="D28" s="15">
        <f>IF($A28="",0,COUNTIF('Sprint W2'!$B$20:$B$24,$A28)*5+COUNTIF('Sprint W2'!$C$20:$C$24,$A28)*4+COUNTIF('Sprint W2'!$D$20:$D$24,$A28)*3+COUNTIF('Sprint W2'!$E$20:$E$24,$A28)*2+COUNTIF('Sprint W2'!$F$20:$F$24,$A28)*1)</f>
        <v>0</v>
      </c>
      <c r="E28" s="15">
        <f>IF($A28="",0,COUNTIF('Sprint W3'!$B$20:$B$24,$A28)*5+COUNTIF('Sprint W3'!$C$20:$C$24,$A28)*4+COUNTIF('Sprint W3'!$D$20:$D$24,$A28)*3+COUNTIF('Sprint W3'!$E$20:$E$24,$A28)*2+COUNTIF('Sprint W3'!$F$20:$F$24,$A28)*1)</f>
        <v>0</v>
      </c>
      <c r="F28" s="15">
        <f>IF($A28="",0,COUNTIF('Sprint W4'!$B$20:$B$24,$A28)*5+COUNTIF('Sprint W4'!$C$20:$C$24,$A28)*4+COUNTIF('Sprint W4'!$D$20:$D$24,$A28)*3+COUNTIF('Sprint W4'!$E$20:$E$24,$A28)*2+COUNTIF('Sprint W4'!$F$20:$F$24,$A28)*1)</f>
        <v>0</v>
      </c>
      <c r="G28" s="15">
        <f>IF($A28="",0,COUNTIF('Sprint W5'!$B$20:$B$24,$A28)*5+COUNTIF('Sprint W5'!$C$20:$C$24,$A28)*4+COUNTIF('Sprint W5'!$D$20:$D$24,$A28)*3+COUNTIF('Sprint W5'!$E$20:$E$24,$A28)*2+COUNTIF('Sprint W5'!$F$20:$F$24,$A28)*1)</f>
        <v>0</v>
      </c>
      <c r="H28" s="25" t="str">
        <f t="shared" si="0"/>
        <v/>
      </c>
      <c r="I28" s="26" t="str">
        <f t="shared" si="1"/>
        <v/>
      </c>
      <c r="AA28">
        <f>'Sprint W2'!D20</f>
        <v>0</v>
      </c>
      <c r="AB28">
        <f>IF(AA28="",0,IF(COUNTIF($AA$1:AA28,AA28)=1,1,0))</f>
        <v>0</v>
      </c>
      <c r="AC28" t="str">
        <f>IF(AB28=1,COUNTIF($AB$1:AB28,1),"")</f>
        <v/>
      </c>
    </row>
    <row r="29" spans="1:29" x14ac:dyDescent="0.25">
      <c r="A29" s="13" t="str">
        <f>IFERROR(INDEX($AA$1:$AA$125,MATCH(26,$AC$1:$AC$125,0)),"")</f>
        <v/>
      </c>
      <c r="B29" s="33"/>
      <c r="C29" s="15">
        <f>IF($A29="",0,COUNTIF('Sprint W1'!$B$20:$B$24,$A29)*5+COUNTIF('Sprint W1'!$C$20:$C$24,$A29)*4+COUNTIF('Sprint W1'!$D$20:$D$24,$A29)*3+COUNTIF('Sprint W1'!$E$20:$E$24,$A29)*2+COUNTIF('Sprint W1'!$F$20:$F$24,$A29)*1)</f>
        <v>0</v>
      </c>
      <c r="D29" s="15">
        <f>IF($A29="",0,COUNTIF('Sprint W2'!$B$20:$B$24,$A29)*5+COUNTIF('Sprint W2'!$C$20:$C$24,$A29)*4+COUNTIF('Sprint W2'!$D$20:$D$24,$A29)*3+COUNTIF('Sprint W2'!$E$20:$E$24,$A29)*2+COUNTIF('Sprint W2'!$F$20:$F$24,$A29)*1)</f>
        <v>0</v>
      </c>
      <c r="E29" s="15">
        <f>IF($A29="",0,COUNTIF('Sprint W3'!$B$20:$B$24,$A29)*5+COUNTIF('Sprint W3'!$C$20:$C$24,$A29)*4+COUNTIF('Sprint W3'!$D$20:$D$24,$A29)*3+COUNTIF('Sprint W3'!$E$20:$E$24,$A29)*2+COUNTIF('Sprint W3'!$F$20:$F$24,$A29)*1)</f>
        <v>0</v>
      </c>
      <c r="F29" s="15">
        <f>IF($A29="",0,COUNTIF('Sprint W4'!$B$20:$B$24,$A29)*5+COUNTIF('Sprint W4'!$C$20:$C$24,$A29)*4+COUNTIF('Sprint W4'!$D$20:$D$24,$A29)*3+COUNTIF('Sprint W4'!$E$20:$E$24,$A29)*2+COUNTIF('Sprint W4'!$F$20:$F$24,$A29)*1)</f>
        <v>0</v>
      </c>
      <c r="G29" s="15">
        <f>IF($A29="",0,COUNTIF('Sprint W5'!$B$20:$B$24,$A29)*5+COUNTIF('Sprint W5'!$C$20:$C$24,$A29)*4+COUNTIF('Sprint W5'!$D$20:$D$24,$A29)*3+COUNTIF('Sprint W5'!$E$20:$E$24,$A29)*2+COUNTIF('Sprint W5'!$F$20:$F$24,$A29)*1)</f>
        <v>0</v>
      </c>
      <c r="H29" s="25" t="str">
        <f t="shared" si="0"/>
        <v/>
      </c>
      <c r="I29" s="26" t="str">
        <f t="shared" si="1"/>
        <v/>
      </c>
      <c r="AA29" t="str">
        <f>'Sprint W2'!E20</f>
        <v>Rens van Middelaar</v>
      </c>
      <c r="AB29">
        <f>IF(AA29="",0,IF(COUNTIF($AA$1:AA29,AA29)=1,1,0))</f>
        <v>1</v>
      </c>
      <c r="AC29">
        <f>IF(AB29=1,COUNTIF($AB$1:AB29,1),"")</f>
        <v>3</v>
      </c>
    </row>
    <row r="30" spans="1:29" x14ac:dyDescent="0.25">
      <c r="A30" s="13" t="str">
        <f>IFERROR(INDEX($AA$1:$AA$125,MATCH(27,$AC$1:$AC$125,0)),"")</f>
        <v/>
      </c>
      <c r="B30" s="33"/>
      <c r="C30" s="15">
        <f>IF($A30="",0,COUNTIF('Sprint W1'!$B$20:$B$24,$A30)*5+COUNTIF('Sprint W1'!$C$20:$C$24,$A30)*4+COUNTIF('Sprint W1'!$D$20:$D$24,$A30)*3+COUNTIF('Sprint W1'!$E$20:$E$24,$A30)*2+COUNTIF('Sprint W1'!$F$20:$F$24,$A30)*1)</f>
        <v>0</v>
      </c>
      <c r="D30" s="15">
        <f>IF($A30="",0,COUNTIF('Sprint W2'!$B$20:$B$24,$A30)*5+COUNTIF('Sprint W2'!$C$20:$C$24,$A30)*4+COUNTIF('Sprint W2'!$D$20:$D$24,$A30)*3+COUNTIF('Sprint W2'!$E$20:$E$24,$A30)*2+COUNTIF('Sprint W2'!$F$20:$F$24,$A30)*1)</f>
        <v>0</v>
      </c>
      <c r="E30" s="15">
        <f>IF($A30="",0,COUNTIF('Sprint W3'!$B$20:$B$24,$A30)*5+COUNTIF('Sprint W3'!$C$20:$C$24,$A30)*4+COUNTIF('Sprint W3'!$D$20:$D$24,$A30)*3+COUNTIF('Sprint W3'!$E$20:$E$24,$A30)*2+COUNTIF('Sprint W3'!$F$20:$F$24,$A30)*1)</f>
        <v>0</v>
      </c>
      <c r="F30" s="15">
        <f>IF($A30="",0,COUNTIF('Sprint W4'!$B$20:$B$24,$A30)*5+COUNTIF('Sprint W4'!$C$20:$C$24,$A30)*4+COUNTIF('Sprint W4'!$D$20:$D$24,$A30)*3+COUNTIF('Sprint W4'!$E$20:$E$24,$A30)*2+COUNTIF('Sprint W4'!$F$20:$F$24,$A30)*1)</f>
        <v>0</v>
      </c>
      <c r="G30" s="15">
        <f>IF($A30="",0,COUNTIF('Sprint W5'!$B$20:$B$24,$A30)*5+COUNTIF('Sprint W5'!$C$20:$C$24,$A30)*4+COUNTIF('Sprint W5'!$D$20:$D$24,$A30)*3+COUNTIF('Sprint W5'!$E$20:$E$24,$A30)*2+COUNTIF('Sprint W5'!$F$20:$F$24,$A30)*1)</f>
        <v>0</v>
      </c>
      <c r="H30" s="25" t="str">
        <f t="shared" si="0"/>
        <v/>
      </c>
      <c r="I30" s="26" t="str">
        <f t="shared" si="1"/>
        <v/>
      </c>
      <c r="AA30">
        <f>'Sprint W2'!F20</f>
        <v>0</v>
      </c>
      <c r="AB30">
        <f>IF(AA30="",0,IF(COUNTIF($AA$1:AA30,AA30)=1,1,0))</f>
        <v>0</v>
      </c>
      <c r="AC30" t="str">
        <f>IF(AB30=1,COUNTIF($AB$1:AB30,1),"")</f>
        <v/>
      </c>
    </row>
    <row r="31" spans="1:29" x14ac:dyDescent="0.25">
      <c r="A31" s="13" t="str">
        <f>IFERROR(INDEX($AA$1:$AA$125,MATCH(28,$AC$1:$AC$125,0)),"")</f>
        <v/>
      </c>
      <c r="B31" s="33"/>
      <c r="C31" s="15">
        <f>IF($A31="",0,COUNTIF('Sprint W1'!$B$20:$B$24,$A31)*5+COUNTIF('Sprint W1'!$C$20:$C$24,$A31)*4+COUNTIF('Sprint W1'!$D$20:$D$24,$A31)*3+COUNTIF('Sprint W1'!$E$20:$E$24,$A31)*2+COUNTIF('Sprint W1'!$F$20:$F$24,$A31)*1)</f>
        <v>0</v>
      </c>
      <c r="D31" s="15">
        <f>IF($A31="",0,COUNTIF('Sprint W2'!$B$20:$B$24,$A31)*5+COUNTIF('Sprint W2'!$C$20:$C$24,$A31)*4+COUNTIF('Sprint W2'!$D$20:$D$24,$A31)*3+COUNTIF('Sprint W2'!$E$20:$E$24,$A31)*2+COUNTIF('Sprint W2'!$F$20:$F$24,$A31)*1)</f>
        <v>0</v>
      </c>
      <c r="E31" s="15">
        <f>IF($A31="",0,COUNTIF('Sprint W3'!$B$20:$B$24,$A31)*5+COUNTIF('Sprint W3'!$C$20:$C$24,$A31)*4+COUNTIF('Sprint W3'!$D$20:$D$24,$A31)*3+COUNTIF('Sprint W3'!$E$20:$E$24,$A31)*2+COUNTIF('Sprint W3'!$F$20:$F$24,$A31)*1)</f>
        <v>0</v>
      </c>
      <c r="F31" s="15">
        <f>IF($A31="",0,COUNTIF('Sprint W4'!$B$20:$B$24,$A31)*5+COUNTIF('Sprint W4'!$C$20:$C$24,$A31)*4+COUNTIF('Sprint W4'!$D$20:$D$24,$A31)*3+COUNTIF('Sprint W4'!$E$20:$E$24,$A31)*2+COUNTIF('Sprint W4'!$F$20:$F$24,$A31)*1)</f>
        <v>0</v>
      </c>
      <c r="G31" s="15">
        <f>IF($A31="",0,COUNTIF('Sprint W5'!$B$20:$B$24,$A31)*5+COUNTIF('Sprint W5'!$C$20:$C$24,$A31)*4+COUNTIF('Sprint W5'!$D$20:$D$24,$A31)*3+COUNTIF('Sprint W5'!$E$20:$E$24,$A31)*2+COUNTIF('Sprint W5'!$F$20:$F$24,$A31)*1)</f>
        <v>0</v>
      </c>
      <c r="H31" s="25" t="str">
        <f t="shared" si="0"/>
        <v/>
      </c>
      <c r="I31" s="26" t="str">
        <f t="shared" si="1"/>
        <v/>
      </c>
      <c r="AA31" t="str">
        <f>'Sprint W2'!B21</f>
        <v>Benjamin van der Sar</v>
      </c>
      <c r="AB31">
        <f>IF(AA31="",0,IF(COUNTIF($AA$1:AA31,AA31)=1,1,0))</f>
        <v>0</v>
      </c>
      <c r="AC31" t="str">
        <f>IF(AB31=1,COUNTIF($AB$1:AB31,1),"")</f>
        <v/>
      </c>
    </row>
    <row r="32" spans="1:29" x14ac:dyDescent="0.25">
      <c r="A32" s="13" t="str">
        <f>IFERROR(INDEX($AA$1:$AA$125,MATCH(29,$AC$1:$AC$125,0)),"")</f>
        <v/>
      </c>
      <c r="B32" s="33"/>
      <c r="C32" s="15">
        <f>IF($A32="",0,COUNTIF('Sprint W1'!$B$20:$B$24,$A32)*5+COUNTIF('Sprint W1'!$C$20:$C$24,$A32)*4+COUNTIF('Sprint W1'!$D$20:$D$24,$A32)*3+COUNTIF('Sprint W1'!$E$20:$E$24,$A32)*2+COUNTIF('Sprint W1'!$F$20:$F$24,$A32)*1)</f>
        <v>0</v>
      </c>
      <c r="D32" s="15">
        <f>IF($A32="",0,COUNTIF('Sprint W2'!$B$20:$B$24,$A32)*5+COUNTIF('Sprint W2'!$C$20:$C$24,$A32)*4+COUNTIF('Sprint W2'!$D$20:$D$24,$A32)*3+COUNTIF('Sprint W2'!$E$20:$E$24,$A32)*2+COUNTIF('Sprint W2'!$F$20:$F$24,$A32)*1)</f>
        <v>0</v>
      </c>
      <c r="E32" s="15">
        <f>IF($A32="",0,COUNTIF('Sprint W3'!$B$20:$B$24,$A32)*5+COUNTIF('Sprint W3'!$C$20:$C$24,$A32)*4+COUNTIF('Sprint W3'!$D$20:$D$24,$A32)*3+COUNTIF('Sprint W3'!$E$20:$E$24,$A32)*2+COUNTIF('Sprint W3'!$F$20:$F$24,$A32)*1)</f>
        <v>0</v>
      </c>
      <c r="F32" s="15">
        <f>IF($A32="",0,COUNTIF('Sprint W4'!$B$20:$B$24,$A32)*5+COUNTIF('Sprint W4'!$C$20:$C$24,$A32)*4+COUNTIF('Sprint W4'!$D$20:$D$24,$A32)*3+COUNTIF('Sprint W4'!$E$20:$E$24,$A32)*2+COUNTIF('Sprint W4'!$F$20:$F$24,$A32)*1)</f>
        <v>0</v>
      </c>
      <c r="G32" s="15">
        <f>IF($A32="",0,COUNTIF('Sprint W5'!$B$20:$B$24,$A32)*5+COUNTIF('Sprint W5'!$C$20:$C$24,$A32)*4+COUNTIF('Sprint W5'!$D$20:$D$24,$A32)*3+COUNTIF('Sprint W5'!$E$20:$E$24,$A32)*2+COUNTIF('Sprint W5'!$F$20:$F$24,$A32)*1)</f>
        <v>0</v>
      </c>
      <c r="H32" s="25" t="str">
        <f t="shared" si="0"/>
        <v/>
      </c>
      <c r="I32" s="26" t="str">
        <f t="shared" si="1"/>
        <v/>
      </c>
      <c r="AA32">
        <f>'Sprint W2'!C21</f>
        <v>0</v>
      </c>
      <c r="AB32">
        <f>IF(AA32="",0,IF(COUNTIF($AA$1:AA32,AA32)=1,1,0))</f>
        <v>0</v>
      </c>
      <c r="AC32" t="str">
        <f>IF(AB32=1,COUNTIF($AB$1:AB32,1),"")</f>
        <v/>
      </c>
    </row>
    <row r="33" spans="1:29" x14ac:dyDescent="0.25">
      <c r="A33" s="13" t="str">
        <f>IFERROR(INDEX($AA$1:$AA$125,MATCH(30,$AC$1:$AC$125,0)),"")</f>
        <v/>
      </c>
      <c r="B33" s="33"/>
      <c r="C33" s="15">
        <f>IF($A33="",0,COUNTIF('Sprint W1'!$B$20:$B$24,$A33)*5+COUNTIF('Sprint W1'!$C$20:$C$24,$A33)*4+COUNTIF('Sprint W1'!$D$20:$D$24,$A33)*3+COUNTIF('Sprint W1'!$E$20:$E$24,$A33)*2+COUNTIF('Sprint W1'!$F$20:$F$24,$A33)*1)</f>
        <v>0</v>
      </c>
      <c r="D33" s="15">
        <f>IF($A33="",0,COUNTIF('Sprint W2'!$B$20:$B$24,$A33)*5+COUNTIF('Sprint W2'!$C$20:$C$24,$A33)*4+COUNTIF('Sprint W2'!$D$20:$D$24,$A33)*3+COUNTIF('Sprint W2'!$E$20:$E$24,$A33)*2+COUNTIF('Sprint W2'!$F$20:$F$24,$A33)*1)</f>
        <v>0</v>
      </c>
      <c r="E33" s="15">
        <f>IF($A33="",0,COUNTIF('Sprint W3'!$B$20:$B$24,$A33)*5+COUNTIF('Sprint W3'!$C$20:$C$24,$A33)*4+COUNTIF('Sprint W3'!$D$20:$D$24,$A33)*3+COUNTIF('Sprint W3'!$E$20:$E$24,$A33)*2+COUNTIF('Sprint W3'!$F$20:$F$24,$A33)*1)</f>
        <v>0</v>
      </c>
      <c r="F33" s="15">
        <f>IF($A33="",0,COUNTIF('Sprint W4'!$B$20:$B$24,$A33)*5+COUNTIF('Sprint W4'!$C$20:$C$24,$A33)*4+COUNTIF('Sprint W4'!$D$20:$D$24,$A33)*3+COUNTIF('Sprint W4'!$E$20:$E$24,$A33)*2+COUNTIF('Sprint W4'!$F$20:$F$24,$A33)*1)</f>
        <v>0</v>
      </c>
      <c r="G33" s="15">
        <f>IF($A33="",0,COUNTIF('Sprint W5'!$B$20:$B$24,$A33)*5+COUNTIF('Sprint W5'!$C$20:$C$24,$A33)*4+COUNTIF('Sprint W5'!$D$20:$D$24,$A33)*3+COUNTIF('Sprint W5'!$E$20:$E$24,$A33)*2+COUNTIF('Sprint W5'!$F$20:$F$24,$A33)*1)</f>
        <v>0</v>
      </c>
      <c r="H33" s="25" t="str">
        <f t="shared" si="0"/>
        <v/>
      </c>
      <c r="I33" s="26" t="str">
        <f t="shared" si="1"/>
        <v/>
      </c>
      <c r="AA33" t="str">
        <f>'Sprint W2'!D21</f>
        <v>Rens van Middelaar</v>
      </c>
      <c r="AB33">
        <f>IF(AA33="",0,IF(COUNTIF($AA$1:AA33,AA33)=1,1,0))</f>
        <v>0</v>
      </c>
      <c r="AC33" t="str">
        <f>IF(AB33=1,COUNTIF($AB$1:AB33,1),"")</f>
        <v/>
      </c>
    </row>
    <row r="34" spans="1:29" x14ac:dyDescent="0.25">
      <c r="A34" s="13" t="str">
        <f>IFERROR(INDEX($AA$1:$AA$125,MATCH(31,$AC$1:$AC$125,0)),"")</f>
        <v/>
      </c>
      <c r="B34" s="33"/>
      <c r="C34" s="15">
        <f>IF($A34="",0,COUNTIF('Sprint W1'!$B$20:$B$24,$A34)*5+COUNTIF('Sprint W1'!$C$20:$C$24,$A34)*4+COUNTIF('Sprint W1'!$D$20:$D$24,$A34)*3+COUNTIF('Sprint W1'!$E$20:$E$24,$A34)*2+COUNTIF('Sprint W1'!$F$20:$F$24,$A34)*1)</f>
        <v>0</v>
      </c>
      <c r="D34" s="15">
        <f>IF($A34="",0,COUNTIF('Sprint W2'!$B$20:$B$24,$A34)*5+COUNTIF('Sprint W2'!$C$20:$C$24,$A34)*4+COUNTIF('Sprint W2'!$D$20:$D$24,$A34)*3+COUNTIF('Sprint W2'!$E$20:$E$24,$A34)*2+COUNTIF('Sprint W2'!$F$20:$F$24,$A34)*1)</f>
        <v>0</v>
      </c>
      <c r="E34" s="15">
        <f>IF($A34="",0,COUNTIF('Sprint W3'!$B$20:$B$24,$A34)*5+COUNTIF('Sprint W3'!$C$20:$C$24,$A34)*4+COUNTIF('Sprint W3'!$D$20:$D$24,$A34)*3+COUNTIF('Sprint W3'!$E$20:$E$24,$A34)*2+COUNTIF('Sprint W3'!$F$20:$F$24,$A34)*1)</f>
        <v>0</v>
      </c>
      <c r="F34" s="15">
        <f>IF($A34="",0,COUNTIF('Sprint W4'!$B$20:$B$24,$A34)*5+COUNTIF('Sprint W4'!$C$20:$C$24,$A34)*4+COUNTIF('Sprint W4'!$D$20:$D$24,$A34)*3+COUNTIF('Sprint W4'!$E$20:$E$24,$A34)*2+COUNTIF('Sprint W4'!$F$20:$F$24,$A34)*1)</f>
        <v>0</v>
      </c>
      <c r="G34" s="15">
        <f>IF($A34="",0,COUNTIF('Sprint W5'!$B$20:$B$24,$A34)*5+COUNTIF('Sprint W5'!$C$20:$C$24,$A34)*4+COUNTIF('Sprint W5'!$D$20:$D$24,$A34)*3+COUNTIF('Sprint W5'!$E$20:$E$24,$A34)*2+COUNTIF('Sprint W5'!$F$20:$F$24,$A34)*1)</f>
        <v>0</v>
      </c>
      <c r="H34" s="25" t="str">
        <f t="shared" si="0"/>
        <v/>
      </c>
      <c r="I34" s="26" t="str">
        <f t="shared" si="1"/>
        <v/>
      </c>
      <c r="AA34" t="str">
        <f>'Sprint W2'!E21</f>
        <v>Stijn van Twiller</v>
      </c>
      <c r="AB34">
        <f>IF(AA34="",0,IF(COUNTIF($AA$1:AA34,AA34)=1,1,0))</f>
        <v>1</v>
      </c>
      <c r="AC34">
        <f>IF(AB34=1,COUNTIF($AB$1:AB34,1),"")</f>
        <v>4</v>
      </c>
    </row>
    <row r="35" spans="1:29" x14ac:dyDescent="0.25">
      <c r="A35" s="13" t="str">
        <f>IFERROR(INDEX($AA$1:$AA$125,MATCH(32,$AC$1:$AC$125,0)),"")</f>
        <v/>
      </c>
      <c r="B35" s="33"/>
      <c r="C35" s="15">
        <f>IF($A35="",0,COUNTIF('Sprint W1'!$B$20:$B$24,$A35)*5+COUNTIF('Sprint W1'!$C$20:$C$24,$A35)*4+COUNTIF('Sprint W1'!$D$20:$D$24,$A35)*3+COUNTIF('Sprint W1'!$E$20:$E$24,$A35)*2+COUNTIF('Sprint W1'!$F$20:$F$24,$A35)*1)</f>
        <v>0</v>
      </c>
      <c r="D35" s="15">
        <f>IF($A35="",0,COUNTIF('Sprint W2'!$B$20:$B$24,$A35)*5+COUNTIF('Sprint W2'!$C$20:$C$24,$A35)*4+COUNTIF('Sprint W2'!$D$20:$D$24,$A35)*3+COUNTIF('Sprint W2'!$E$20:$E$24,$A35)*2+COUNTIF('Sprint W2'!$F$20:$F$24,$A35)*1)</f>
        <v>0</v>
      </c>
      <c r="E35" s="15">
        <f>IF($A35="",0,COUNTIF('Sprint W3'!$B$20:$B$24,$A35)*5+COUNTIF('Sprint W3'!$C$20:$C$24,$A35)*4+COUNTIF('Sprint W3'!$D$20:$D$24,$A35)*3+COUNTIF('Sprint W3'!$E$20:$E$24,$A35)*2+COUNTIF('Sprint W3'!$F$20:$F$24,$A35)*1)</f>
        <v>0</v>
      </c>
      <c r="F35" s="15">
        <f>IF($A35="",0,COUNTIF('Sprint W4'!$B$20:$B$24,$A35)*5+COUNTIF('Sprint W4'!$C$20:$C$24,$A35)*4+COUNTIF('Sprint W4'!$D$20:$D$24,$A35)*3+COUNTIF('Sprint W4'!$E$20:$E$24,$A35)*2+COUNTIF('Sprint W4'!$F$20:$F$24,$A35)*1)</f>
        <v>0</v>
      </c>
      <c r="G35" s="15">
        <f>IF($A35="",0,COUNTIF('Sprint W5'!$B$20:$B$24,$A35)*5+COUNTIF('Sprint W5'!$C$20:$C$24,$A35)*4+COUNTIF('Sprint W5'!$D$20:$D$24,$A35)*3+COUNTIF('Sprint W5'!$E$20:$E$24,$A35)*2+COUNTIF('Sprint W5'!$F$20:$F$24,$A35)*1)</f>
        <v>0</v>
      </c>
      <c r="H35" s="25" t="str">
        <f t="shared" si="0"/>
        <v/>
      </c>
      <c r="I35" s="26" t="str">
        <f t="shared" si="1"/>
        <v/>
      </c>
      <c r="AA35">
        <f>'Sprint W2'!F21</f>
        <v>0</v>
      </c>
      <c r="AB35">
        <f>IF(AA35="",0,IF(COUNTIF($AA$1:AA35,AA35)=1,1,0))</f>
        <v>0</v>
      </c>
      <c r="AC35" t="str">
        <f>IF(AB35=1,COUNTIF($AB$1:AB35,1),"")</f>
        <v/>
      </c>
    </row>
    <row r="36" spans="1:29" x14ac:dyDescent="0.25">
      <c r="A36" s="13" t="str">
        <f>IFERROR(INDEX($AA$1:$AA$125,MATCH(33,$AC$1:$AC$125,0)),"")</f>
        <v/>
      </c>
      <c r="B36" s="33"/>
      <c r="C36" s="15">
        <f>IF($A36="",0,COUNTIF('Sprint W1'!$B$20:$B$24,$A36)*5+COUNTIF('Sprint W1'!$C$20:$C$24,$A36)*4+COUNTIF('Sprint W1'!$D$20:$D$24,$A36)*3+COUNTIF('Sprint W1'!$E$20:$E$24,$A36)*2+COUNTIF('Sprint W1'!$F$20:$F$24,$A36)*1)</f>
        <v>0</v>
      </c>
      <c r="D36" s="15">
        <f>IF($A36="",0,COUNTIF('Sprint W2'!$B$20:$B$24,$A36)*5+COUNTIF('Sprint W2'!$C$20:$C$24,$A36)*4+COUNTIF('Sprint W2'!$D$20:$D$24,$A36)*3+COUNTIF('Sprint W2'!$E$20:$E$24,$A36)*2+COUNTIF('Sprint W2'!$F$20:$F$24,$A36)*1)</f>
        <v>0</v>
      </c>
      <c r="E36" s="15">
        <f>IF($A36="",0,COUNTIF('Sprint W3'!$B$20:$B$24,$A36)*5+COUNTIF('Sprint W3'!$C$20:$C$24,$A36)*4+COUNTIF('Sprint W3'!$D$20:$D$24,$A36)*3+COUNTIF('Sprint W3'!$E$20:$E$24,$A36)*2+COUNTIF('Sprint W3'!$F$20:$F$24,$A36)*1)</f>
        <v>0</v>
      </c>
      <c r="F36" s="15">
        <f>IF($A36="",0,COUNTIF('Sprint W4'!$B$20:$B$24,$A36)*5+COUNTIF('Sprint W4'!$C$20:$C$24,$A36)*4+COUNTIF('Sprint W4'!$D$20:$D$24,$A36)*3+COUNTIF('Sprint W4'!$E$20:$E$24,$A36)*2+COUNTIF('Sprint W4'!$F$20:$F$24,$A36)*1)</f>
        <v>0</v>
      </c>
      <c r="G36" s="15">
        <f>IF($A36="",0,COUNTIF('Sprint W5'!$B$20:$B$24,$A36)*5+COUNTIF('Sprint W5'!$C$20:$C$24,$A36)*4+COUNTIF('Sprint W5'!$D$20:$D$24,$A36)*3+COUNTIF('Sprint W5'!$E$20:$E$24,$A36)*2+COUNTIF('Sprint W5'!$F$20:$F$24,$A36)*1)</f>
        <v>0</v>
      </c>
      <c r="H36" s="25" t="str">
        <f t="shared" ref="H36:H67" si="2">IF($A36="","",C36+D36+E36+F36+G36)</f>
        <v/>
      </c>
      <c r="I36" s="26" t="str">
        <f t="shared" ref="I36:I67" si="3">IF(OR($A36="",H36="",H36=0),"",RANK(H36,$H$4:$H$103,0))</f>
        <v/>
      </c>
      <c r="AA36" t="str">
        <f>'Sprint W2'!B22</f>
        <v>Benjamin van der Sar</v>
      </c>
      <c r="AB36">
        <f>IF(AA36="",0,IF(COUNTIF($AA$1:AA36,AA36)=1,1,0))</f>
        <v>0</v>
      </c>
      <c r="AC36" t="str">
        <f>IF(AB36=1,COUNTIF($AB$1:AB36,1),"")</f>
        <v/>
      </c>
    </row>
    <row r="37" spans="1:29" x14ac:dyDescent="0.25">
      <c r="A37" s="13" t="str">
        <f>IFERROR(INDEX($AA$1:$AA$125,MATCH(34,$AC$1:$AC$125,0)),"")</f>
        <v/>
      </c>
      <c r="B37" s="33"/>
      <c r="C37" s="15">
        <f>IF($A37="",0,COUNTIF('Sprint W1'!$B$20:$B$24,$A37)*5+COUNTIF('Sprint W1'!$C$20:$C$24,$A37)*4+COUNTIF('Sprint W1'!$D$20:$D$24,$A37)*3+COUNTIF('Sprint W1'!$E$20:$E$24,$A37)*2+COUNTIF('Sprint W1'!$F$20:$F$24,$A37)*1)</f>
        <v>0</v>
      </c>
      <c r="D37" s="15">
        <f>IF($A37="",0,COUNTIF('Sprint W2'!$B$20:$B$24,$A37)*5+COUNTIF('Sprint W2'!$C$20:$C$24,$A37)*4+COUNTIF('Sprint W2'!$D$20:$D$24,$A37)*3+COUNTIF('Sprint W2'!$E$20:$E$24,$A37)*2+COUNTIF('Sprint W2'!$F$20:$F$24,$A37)*1)</f>
        <v>0</v>
      </c>
      <c r="E37" s="15">
        <f>IF($A37="",0,COUNTIF('Sprint W3'!$B$20:$B$24,$A37)*5+COUNTIF('Sprint W3'!$C$20:$C$24,$A37)*4+COUNTIF('Sprint W3'!$D$20:$D$24,$A37)*3+COUNTIF('Sprint W3'!$E$20:$E$24,$A37)*2+COUNTIF('Sprint W3'!$F$20:$F$24,$A37)*1)</f>
        <v>0</v>
      </c>
      <c r="F37" s="15">
        <f>IF($A37="",0,COUNTIF('Sprint W4'!$B$20:$B$24,$A37)*5+COUNTIF('Sprint W4'!$C$20:$C$24,$A37)*4+COUNTIF('Sprint W4'!$D$20:$D$24,$A37)*3+COUNTIF('Sprint W4'!$E$20:$E$24,$A37)*2+COUNTIF('Sprint W4'!$F$20:$F$24,$A37)*1)</f>
        <v>0</v>
      </c>
      <c r="G37" s="15">
        <f>IF($A37="",0,COUNTIF('Sprint W5'!$B$20:$B$24,$A37)*5+COUNTIF('Sprint W5'!$C$20:$C$24,$A37)*4+COUNTIF('Sprint W5'!$D$20:$D$24,$A37)*3+COUNTIF('Sprint W5'!$E$20:$E$24,$A37)*2+COUNTIF('Sprint W5'!$F$20:$F$24,$A37)*1)</f>
        <v>0</v>
      </c>
      <c r="H37" s="25" t="str">
        <f t="shared" si="2"/>
        <v/>
      </c>
      <c r="I37" s="26" t="str">
        <f t="shared" si="3"/>
        <v/>
      </c>
      <c r="AA37" t="str">
        <f>'Sprint W2'!C22</f>
        <v>Stijn van Twiller</v>
      </c>
      <c r="AB37">
        <f>IF(AA37="",0,IF(COUNTIF($AA$1:AA37,AA37)=1,1,0))</f>
        <v>0</v>
      </c>
      <c r="AC37" t="str">
        <f>IF(AB37=1,COUNTIF($AB$1:AB37,1),"")</f>
        <v/>
      </c>
    </row>
    <row r="38" spans="1:29" x14ac:dyDescent="0.25">
      <c r="A38" s="13" t="str">
        <f>IFERROR(INDEX($AA$1:$AA$125,MATCH(35,$AC$1:$AC$125,0)),"")</f>
        <v/>
      </c>
      <c r="B38" s="33"/>
      <c r="C38" s="15">
        <f>IF($A38="",0,COUNTIF('Sprint W1'!$B$20:$B$24,$A38)*5+COUNTIF('Sprint W1'!$C$20:$C$24,$A38)*4+COUNTIF('Sprint W1'!$D$20:$D$24,$A38)*3+COUNTIF('Sprint W1'!$E$20:$E$24,$A38)*2+COUNTIF('Sprint W1'!$F$20:$F$24,$A38)*1)</f>
        <v>0</v>
      </c>
      <c r="D38" s="15">
        <f>IF($A38="",0,COUNTIF('Sprint W2'!$B$20:$B$24,$A38)*5+COUNTIF('Sprint W2'!$C$20:$C$24,$A38)*4+COUNTIF('Sprint W2'!$D$20:$D$24,$A38)*3+COUNTIF('Sprint W2'!$E$20:$E$24,$A38)*2+COUNTIF('Sprint W2'!$F$20:$F$24,$A38)*1)</f>
        <v>0</v>
      </c>
      <c r="E38" s="15">
        <f>IF($A38="",0,COUNTIF('Sprint W3'!$B$20:$B$24,$A38)*5+COUNTIF('Sprint W3'!$C$20:$C$24,$A38)*4+COUNTIF('Sprint W3'!$D$20:$D$24,$A38)*3+COUNTIF('Sprint W3'!$E$20:$E$24,$A38)*2+COUNTIF('Sprint W3'!$F$20:$F$24,$A38)*1)</f>
        <v>0</v>
      </c>
      <c r="F38" s="15">
        <f>IF($A38="",0,COUNTIF('Sprint W4'!$B$20:$B$24,$A38)*5+COUNTIF('Sprint W4'!$C$20:$C$24,$A38)*4+COUNTIF('Sprint W4'!$D$20:$D$24,$A38)*3+COUNTIF('Sprint W4'!$E$20:$E$24,$A38)*2+COUNTIF('Sprint W4'!$F$20:$F$24,$A38)*1)</f>
        <v>0</v>
      </c>
      <c r="G38" s="15">
        <f>IF($A38="",0,COUNTIF('Sprint W5'!$B$20:$B$24,$A38)*5+COUNTIF('Sprint W5'!$C$20:$C$24,$A38)*4+COUNTIF('Sprint W5'!$D$20:$D$24,$A38)*3+COUNTIF('Sprint W5'!$E$20:$E$24,$A38)*2+COUNTIF('Sprint W5'!$F$20:$F$24,$A38)*1)</f>
        <v>0</v>
      </c>
      <c r="H38" s="25" t="str">
        <f t="shared" si="2"/>
        <v/>
      </c>
      <c r="I38" s="26" t="str">
        <f t="shared" si="3"/>
        <v/>
      </c>
      <c r="AA38">
        <f>'Sprint W2'!D22</f>
        <v>0</v>
      </c>
      <c r="AB38">
        <f>IF(AA38="",0,IF(COUNTIF($AA$1:AA38,AA38)=1,1,0))</f>
        <v>0</v>
      </c>
      <c r="AC38" t="str">
        <f>IF(AB38=1,COUNTIF($AB$1:AB38,1),"")</f>
        <v/>
      </c>
    </row>
    <row r="39" spans="1:29" x14ac:dyDescent="0.25">
      <c r="A39" s="13" t="str">
        <f>IFERROR(INDEX($AA$1:$AA$125,MATCH(36,$AC$1:$AC$125,0)),"")</f>
        <v/>
      </c>
      <c r="B39" s="33"/>
      <c r="C39" s="15">
        <f>IF($A39="",0,COUNTIF('Sprint W1'!$B$20:$B$24,$A39)*5+COUNTIF('Sprint W1'!$C$20:$C$24,$A39)*4+COUNTIF('Sprint W1'!$D$20:$D$24,$A39)*3+COUNTIF('Sprint W1'!$E$20:$E$24,$A39)*2+COUNTIF('Sprint W1'!$F$20:$F$24,$A39)*1)</f>
        <v>0</v>
      </c>
      <c r="D39" s="15">
        <f>IF($A39="",0,COUNTIF('Sprint W2'!$B$20:$B$24,$A39)*5+COUNTIF('Sprint W2'!$C$20:$C$24,$A39)*4+COUNTIF('Sprint W2'!$D$20:$D$24,$A39)*3+COUNTIF('Sprint W2'!$E$20:$E$24,$A39)*2+COUNTIF('Sprint W2'!$F$20:$F$24,$A39)*1)</f>
        <v>0</v>
      </c>
      <c r="E39" s="15">
        <f>IF($A39="",0,COUNTIF('Sprint W3'!$B$20:$B$24,$A39)*5+COUNTIF('Sprint W3'!$C$20:$C$24,$A39)*4+COUNTIF('Sprint W3'!$D$20:$D$24,$A39)*3+COUNTIF('Sprint W3'!$E$20:$E$24,$A39)*2+COUNTIF('Sprint W3'!$F$20:$F$24,$A39)*1)</f>
        <v>0</v>
      </c>
      <c r="F39" s="15">
        <f>IF($A39="",0,COUNTIF('Sprint W4'!$B$20:$B$24,$A39)*5+COUNTIF('Sprint W4'!$C$20:$C$24,$A39)*4+COUNTIF('Sprint W4'!$D$20:$D$24,$A39)*3+COUNTIF('Sprint W4'!$E$20:$E$24,$A39)*2+COUNTIF('Sprint W4'!$F$20:$F$24,$A39)*1)</f>
        <v>0</v>
      </c>
      <c r="G39" s="15">
        <f>IF($A39="",0,COUNTIF('Sprint W5'!$B$20:$B$24,$A39)*5+COUNTIF('Sprint W5'!$C$20:$C$24,$A39)*4+COUNTIF('Sprint W5'!$D$20:$D$24,$A39)*3+COUNTIF('Sprint W5'!$E$20:$E$24,$A39)*2+COUNTIF('Sprint W5'!$F$20:$F$24,$A39)*1)</f>
        <v>0</v>
      </c>
      <c r="H39" s="25" t="str">
        <f t="shared" si="2"/>
        <v/>
      </c>
      <c r="I39" s="26" t="str">
        <f t="shared" si="3"/>
        <v/>
      </c>
      <c r="AA39" t="str">
        <f>'Sprint W2'!E22</f>
        <v>Rens van Middelaar</v>
      </c>
      <c r="AB39">
        <f>IF(AA39="",0,IF(COUNTIF($AA$1:AA39,AA39)=1,1,0))</f>
        <v>0</v>
      </c>
      <c r="AC39" t="str">
        <f>IF(AB39=1,COUNTIF($AB$1:AB39,1),"")</f>
        <v/>
      </c>
    </row>
    <row r="40" spans="1:29" x14ac:dyDescent="0.25">
      <c r="A40" s="13" t="str">
        <f>IFERROR(INDEX($AA$1:$AA$125,MATCH(37,$AC$1:$AC$125,0)),"")</f>
        <v/>
      </c>
      <c r="B40" s="33"/>
      <c r="C40" s="15">
        <f>IF($A40="",0,COUNTIF('Sprint W1'!$B$20:$B$24,$A40)*5+COUNTIF('Sprint W1'!$C$20:$C$24,$A40)*4+COUNTIF('Sprint W1'!$D$20:$D$24,$A40)*3+COUNTIF('Sprint W1'!$E$20:$E$24,$A40)*2+COUNTIF('Sprint W1'!$F$20:$F$24,$A40)*1)</f>
        <v>0</v>
      </c>
      <c r="D40" s="15">
        <f>IF($A40="",0,COUNTIF('Sprint W2'!$B$20:$B$24,$A40)*5+COUNTIF('Sprint W2'!$C$20:$C$24,$A40)*4+COUNTIF('Sprint W2'!$D$20:$D$24,$A40)*3+COUNTIF('Sprint W2'!$E$20:$E$24,$A40)*2+COUNTIF('Sprint W2'!$F$20:$F$24,$A40)*1)</f>
        <v>0</v>
      </c>
      <c r="E40" s="15">
        <f>IF($A40="",0,COUNTIF('Sprint W3'!$B$20:$B$24,$A40)*5+COUNTIF('Sprint W3'!$C$20:$C$24,$A40)*4+COUNTIF('Sprint W3'!$D$20:$D$24,$A40)*3+COUNTIF('Sprint W3'!$E$20:$E$24,$A40)*2+COUNTIF('Sprint W3'!$F$20:$F$24,$A40)*1)</f>
        <v>0</v>
      </c>
      <c r="F40" s="15">
        <f>IF($A40="",0,COUNTIF('Sprint W4'!$B$20:$B$24,$A40)*5+COUNTIF('Sprint W4'!$C$20:$C$24,$A40)*4+COUNTIF('Sprint W4'!$D$20:$D$24,$A40)*3+COUNTIF('Sprint W4'!$E$20:$E$24,$A40)*2+COUNTIF('Sprint W4'!$F$20:$F$24,$A40)*1)</f>
        <v>0</v>
      </c>
      <c r="G40" s="15">
        <f>IF($A40="",0,COUNTIF('Sprint W5'!$B$20:$B$24,$A40)*5+COUNTIF('Sprint W5'!$C$20:$C$24,$A40)*4+COUNTIF('Sprint W5'!$D$20:$D$24,$A40)*3+COUNTIF('Sprint W5'!$E$20:$E$24,$A40)*2+COUNTIF('Sprint W5'!$F$20:$F$24,$A40)*1)</f>
        <v>0</v>
      </c>
      <c r="H40" s="25" t="str">
        <f t="shared" si="2"/>
        <v/>
      </c>
      <c r="I40" s="26" t="str">
        <f t="shared" si="3"/>
        <v/>
      </c>
      <c r="AA40">
        <f>'Sprint W2'!F22</f>
        <v>0</v>
      </c>
      <c r="AB40">
        <f>IF(AA40="",0,IF(COUNTIF($AA$1:AA40,AA40)=1,1,0))</f>
        <v>0</v>
      </c>
      <c r="AC40" t="str">
        <f>IF(AB40=1,COUNTIF($AB$1:AB40,1),"")</f>
        <v/>
      </c>
    </row>
    <row r="41" spans="1:29" x14ac:dyDescent="0.25">
      <c r="A41" s="13" t="str">
        <f>IFERROR(INDEX($AA$1:$AA$125,MATCH(38,$AC$1:$AC$125,0)),"")</f>
        <v/>
      </c>
      <c r="B41" s="33"/>
      <c r="C41" s="15">
        <f>IF($A41="",0,COUNTIF('Sprint W1'!$B$20:$B$24,$A41)*5+COUNTIF('Sprint W1'!$C$20:$C$24,$A41)*4+COUNTIF('Sprint W1'!$D$20:$D$24,$A41)*3+COUNTIF('Sprint W1'!$E$20:$E$24,$A41)*2+COUNTIF('Sprint W1'!$F$20:$F$24,$A41)*1)</f>
        <v>0</v>
      </c>
      <c r="D41" s="15">
        <f>IF($A41="",0,COUNTIF('Sprint W2'!$B$20:$B$24,$A41)*5+COUNTIF('Sprint W2'!$C$20:$C$24,$A41)*4+COUNTIF('Sprint W2'!$D$20:$D$24,$A41)*3+COUNTIF('Sprint W2'!$E$20:$E$24,$A41)*2+COUNTIF('Sprint W2'!$F$20:$F$24,$A41)*1)</f>
        <v>0</v>
      </c>
      <c r="E41" s="15">
        <f>IF($A41="",0,COUNTIF('Sprint W3'!$B$20:$B$24,$A41)*5+COUNTIF('Sprint W3'!$C$20:$C$24,$A41)*4+COUNTIF('Sprint W3'!$D$20:$D$24,$A41)*3+COUNTIF('Sprint W3'!$E$20:$E$24,$A41)*2+COUNTIF('Sprint W3'!$F$20:$F$24,$A41)*1)</f>
        <v>0</v>
      </c>
      <c r="F41" s="15">
        <f>IF($A41="",0,COUNTIF('Sprint W4'!$B$20:$B$24,$A41)*5+COUNTIF('Sprint W4'!$C$20:$C$24,$A41)*4+COUNTIF('Sprint W4'!$D$20:$D$24,$A41)*3+COUNTIF('Sprint W4'!$E$20:$E$24,$A41)*2+COUNTIF('Sprint W4'!$F$20:$F$24,$A41)*1)</f>
        <v>0</v>
      </c>
      <c r="G41" s="15">
        <f>IF($A41="",0,COUNTIF('Sprint W5'!$B$20:$B$24,$A41)*5+COUNTIF('Sprint W5'!$C$20:$C$24,$A41)*4+COUNTIF('Sprint W5'!$D$20:$D$24,$A41)*3+COUNTIF('Sprint W5'!$E$20:$E$24,$A41)*2+COUNTIF('Sprint W5'!$F$20:$F$24,$A41)*1)</f>
        <v>0</v>
      </c>
      <c r="H41" s="25" t="str">
        <f t="shared" si="2"/>
        <v/>
      </c>
      <c r="I41" s="26" t="str">
        <f t="shared" si="3"/>
        <v/>
      </c>
      <c r="AA41">
        <f>'Sprint W2'!B23</f>
        <v>0</v>
      </c>
      <c r="AB41">
        <f>IF(AA41="",0,IF(COUNTIF($AA$1:AA41,AA41)=1,1,0))</f>
        <v>0</v>
      </c>
      <c r="AC41" t="str">
        <f>IF(AB41=1,COUNTIF($AB$1:AB41,1),"")</f>
        <v/>
      </c>
    </row>
    <row r="42" spans="1:29" x14ac:dyDescent="0.25">
      <c r="A42" s="13" t="str">
        <f>IFERROR(INDEX($AA$1:$AA$125,MATCH(39,$AC$1:$AC$125,0)),"")</f>
        <v/>
      </c>
      <c r="B42" s="33"/>
      <c r="C42" s="15">
        <f>IF($A42="",0,COUNTIF('Sprint W1'!$B$20:$B$24,$A42)*5+COUNTIF('Sprint W1'!$C$20:$C$24,$A42)*4+COUNTIF('Sprint W1'!$D$20:$D$24,$A42)*3+COUNTIF('Sprint W1'!$E$20:$E$24,$A42)*2+COUNTIF('Sprint W1'!$F$20:$F$24,$A42)*1)</f>
        <v>0</v>
      </c>
      <c r="D42" s="15">
        <f>IF($A42="",0,COUNTIF('Sprint W2'!$B$20:$B$24,$A42)*5+COUNTIF('Sprint W2'!$C$20:$C$24,$A42)*4+COUNTIF('Sprint W2'!$D$20:$D$24,$A42)*3+COUNTIF('Sprint W2'!$E$20:$E$24,$A42)*2+COUNTIF('Sprint W2'!$F$20:$F$24,$A42)*1)</f>
        <v>0</v>
      </c>
      <c r="E42" s="15">
        <f>IF($A42="",0,COUNTIF('Sprint W3'!$B$20:$B$24,$A42)*5+COUNTIF('Sprint W3'!$C$20:$C$24,$A42)*4+COUNTIF('Sprint W3'!$D$20:$D$24,$A42)*3+COUNTIF('Sprint W3'!$E$20:$E$24,$A42)*2+COUNTIF('Sprint W3'!$F$20:$F$24,$A42)*1)</f>
        <v>0</v>
      </c>
      <c r="F42" s="15">
        <f>IF($A42="",0,COUNTIF('Sprint W4'!$B$20:$B$24,$A42)*5+COUNTIF('Sprint W4'!$C$20:$C$24,$A42)*4+COUNTIF('Sprint W4'!$D$20:$D$24,$A42)*3+COUNTIF('Sprint W4'!$E$20:$E$24,$A42)*2+COUNTIF('Sprint W4'!$F$20:$F$24,$A42)*1)</f>
        <v>0</v>
      </c>
      <c r="G42" s="15">
        <f>IF($A42="",0,COUNTIF('Sprint W5'!$B$20:$B$24,$A42)*5+COUNTIF('Sprint W5'!$C$20:$C$24,$A42)*4+COUNTIF('Sprint W5'!$D$20:$D$24,$A42)*3+COUNTIF('Sprint W5'!$E$20:$E$24,$A42)*2+COUNTIF('Sprint W5'!$F$20:$F$24,$A42)*1)</f>
        <v>0</v>
      </c>
      <c r="H42" s="25" t="str">
        <f t="shared" si="2"/>
        <v/>
      </c>
      <c r="I42" s="26" t="str">
        <f t="shared" si="3"/>
        <v/>
      </c>
      <c r="AA42">
        <f>'Sprint W2'!C23</f>
        <v>0</v>
      </c>
      <c r="AB42">
        <f>IF(AA42="",0,IF(COUNTIF($AA$1:AA42,AA42)=1,1,0))</f>
        <v>0</v>
      </c>
      <c r="AC42" t="str">
        <f>IF(AB42=1,COUNTIF($AB$1:AB42,1),"")</f>
        <v/>
      </c>
    </row>
    <row r="43" spans="1:29" x14ac:dyDescent="0.25">
      <c r="A43" s="13" t="str">
        <f>IFERROR(INDEX($AA$1:$AA$125,MATCH(40,$AC$1:$AC$125,0)),"")</f>
        <v/>
      </c>
      <c r="B43" s="33"/>
      <c r="C43" s="15">
        <f>IF($A43="",0,COUNTIF('Sprint W1'!$B$20:$B$24,$A43)*5+COUNTIF('Sprint W1'!$C$20:$C$24,$A43)*4+COUNTIF('Sprint W1'!$D$20:$D$24,$A43)*3+COUNTIF('Sprint W1'!$E$20:$E$24,$A43)*2+COUNTIF('Sprint W1'!$F$20:$F$24,$A43)*1)</f>
        <v>0</v>
      </c>
      <c r="D43" s="15">
        <f>IF($A43="",0,COUNTIF('Sprint W2'!$B$20:$B$24,$A43)*5+COUNTIF('Sprint W2'!$C$20:$C$24,$A43)*4+COUNTIF('Sprint W2'!$D$20:$D$24,$A43)*3+COUNTIF('Sprint W2'!$E$20:$E$24,$A43)*2+COUNTIF('Sprint W2'!$F$20:$F$24,$A43)*1)</f>
        <v>0</v>
      </c>
      <c r="E43" s="15">
        <f>IF($A43="",0,COUNTIF('Sprint W3'!$B$20:$B$24,$A43)*5+COUNTIF('Sprint W3'!$C$20:$C$24,$A43)*4+COUNTIF('Sprint W3'!$D$20:$D$24,$A43)*3+COUNTIF('Sprint W3'!$E$20:$E$24,$A43)*2+COUNTIF('Sprint W3'!$F$20:$F$24,$A43)*1)</f>
        <v>0</v>
      </c>
      <c r="F43" s="15">
        <f>IF($A43="",0,COUNTIF('Sprint W4'!$B$20:$B$24,$A43)*5+COUNTIF('Sprint W4'!$C$20:$C$24,$A43)*4+COUNTIF('Sprint W4'!$D$20:$D$24,$A43)*3+COUNTIF('Sprint W4'!$E$20:$E$24,$A43)*2+COUNTIF('Sprint W4'!$F$20:$F$24,$A43)*1)</f>
        <v>0</v>
      </c>
      <c r="G43" s="15">
        <f>IF($A43="",0,COUNTIF('Sprint W5'!$B$20:$B$24,$A43)*5+COUNTIF('Sprint W5'!$C$20:$C$24,$A43)*4+COUNTIF('Sprint W5'!$D$20:$D$24,$A43)*3+COUNTIF('Sprint W5'!$E$20:$E$24,$A43)*2+COUNTIF('Sprint W5'!$F$20:$F$24,$A43)*1)</f>
        <v>0</v>
      </c>
      <c r="H43" s="25" t="str">
        <f t="shared" si="2"/>
        <v/>
      </c>
      <c r="I43" s="26" t="str">
        <f t="shared" si="3"/>
        <v/>
      </c>
      <c r="AA43">
        <f>'Sprint W2'!D23</f>
        <v>0</v>
      </c>
      <c r="AB43">
        <f>IF(AA43="",0,IF(COUNTIF($AA$1:AA43,AA43)=1,1,0))</f>
        <v>0</v>
      </c>
      <c r="AC43" t="str">
        <f>IF(AB43=1,COUNTIF($AB$1:AB43,1),"")</f>
        <v/>
      </c>
    </row>
    <row r="44" spans="1:29" x14ac:dyDescent="0.25">
      <c r="A44" s="13" t="str">
        <f>IFERROR(INDEX($AA$1:$AA$125,MATCH(41,$AC$1:$AC$125,0)),"")</f>
        <v/>
      </c>
      <c r="B44" s="33"/>
      <c r="C44" s="15">
        <f>IF($A44="",0,COUNTIF('Sprint W1'!$B$20:$B$24,$A44)*5+COUNTIF('Sprint W1'!$C$20:$C$24,$A44)*4+COUNTIF('Sprint W1'!$D$20:$D$24,$A44)*3+COUNTIF('Sprint W1'!$E$20:$E$24,$A44)*2+COUNTIF('Sprint W1'!$F$20:$F$24,$A44)*1)</f>
        <v>0</v>
      </c>
      <c r="D44" s="15">
        <f>IF($A44="",0,COUNTIF('Sprint W2'!$B$20:$B$24,$A44)*5+COUNTIF('Sprint W2'!$C$20:$C$24,$A44)*4+COUNTIF('Sprint W2'!$D$20:$D$24,$A44)*3+COUNTIF('Sprint W2'!$E$20:$E$24,$A44)*2+COUNTIF('Sprint W2'!$F$20:$F$24,$A44)*1)</f>
        <v>0</v>
      </c>
      <c r="E44" s="15">
        <f>IF($A44="",0,COUNTIF('Sprint W3'!$B$20:$B$24,$A44)*5+COUNTIF('Sprint W3'!$C$20:$C$24,$A44)*4+COUNTIF('Sprint W3'!$D$20:$D$24,$A44)*3+COUNTIF('Sprint W3'!$E$20:$E$24,$A44)*2+COUNTIF('Sprint W3'!$F$20:$F$24,$A44)*1)</f>
        <v>0</v>
      </c>
      <c r="F44" s="15">
        <f>IF($A44="",0,COUNTIF('Sprint W4'!$B$20:$B$24,$A44)*5+COUNTIF('Sprint W4'!$C$20:$C$24,$A44)*4+COUNTIF('Sprint W4'!$D$20:$D$24,$A44)*3+COUNTIF('Sprint W4'!$E$20:$E$24,$A44)*2+COUNTIF('Sprint W4'!$F$20:$F$24,$A44)*1)</f>
        <v>0</v>
      </c>
      <c r="G44" s="15">
        <f>IF($A44="",0,COUNTIF('Sprint W5'!$B$20:$B$24,$A44)*5+COUNTIF('Sprint W5'!$C$20:$C$24,$A44)*4+COUNTIF('Sprint W5'!$D$20:$D$24,$A44)*3+COUNTIF('Sprint W5'!$E$20:$E$24,$A44)*2+COUNTIF('Sprint W5'!$F$20:$F$24,$A44)*1)</f>
        <v>0</v>
      </c>
      <c r="H44" s="25" t="str">
        <f t="shared" si="2"/>
        <v/>
      </c>
      <c r="I44" s="26" t="str">
        <f t="shared" si="3"/>
        <v/>
      </c>
      <c r="AA44">
        <f>'Sprint W2'!E23</f>
        <v>0</v>
      </c>
      <c r="AB44">
        <f>IF(AA44="",0,IF(COUNTIF($AA$1:AA44,AA44)=1,1,0))</f>
        <v>0</v>
      </c>
      <c r="AC44" t="str">
        <f>IF(AB44=1,COUNTIF($AB$1:AB44,1),"")</f>
        <v/>
      </c>
    </row>
    <row r="45" spans="1:29" x14ac:dyDescent="0.25">
      <c r="A45" s="13" t="str">
        <f>IFERROR(INDEX($AA$1:$AA$125,MATCH(42,$AC$1:$AC$125,0)),"")</f>
        <v/>
      </c>
      <c r="B45" s="33"/>
      <c r="C45" s="15">
        <f>IF($A45="",0,COUNTIF('Sprint W1'!$B$20:$B$24,$A45)*5+COUNTIF('Sprint W1'!$C$20:$C$24,$A45)*4+COUNTIF('Sprint W1'!$D$20:$D$24,$A45)*3+COUNTIF('Sprint W1'!$E$20:$E$24,$A45)*2+COUNTIF('Sprint W1'!$F$20:$F$24,$A45)*1)</f>
        <v>0</v>
      </c>
      <c r="D45" s="15">
        <f>IF($A45="",0,COUNTIF('Sprint W2'!$B$20:$B$24,$A45)*5+COUNTIF('Sprint W2'!$C$20:$C$24,$A45)*4+COUNTIF('Sprint W2'!$D$20:$D$24,$A45)*3+COUNTIF('Sprint W2'!$E$20:$E$24,$A45)*2+COUNTIF('Sprint W2'!$F$20:$F$24,$A45)*1)</f>
        <v>0</v>
      </c>
      <c r="E45" s="15">
        <f>IF($A45="",0,COUNTIF('Sprint W3'!$B$20:$B$24,$A45)*5+COUNTIF('Sprint W3'!$C$20:$C$24,$A45)*4+COUNTIF('Sprint W3'!$D$20:$D$24,$A45)*3+COUNTIF('Sprint W3'!$E$20:$E$24,$A45)*2+COUNTIF('Sprint W3'!$F$20:$F$24,$A45)*1)</f>
        <v>0</v>
      </c>
      <c r="F45" s="15">
        <f>IF($A45="",0,COUNTIF('Sprint W4'!$B$20:$B$24,$A45)*5+COUNTIF('Sprint W4'!$C$20:$C$24,$A45)*4+COUNTIF('Sprint W4'!$D$20:$D$24,$A45)*3+COUNTIF('Sprint W4'!$E$20:$E$24,$A45)*2+COUNTIF('Sprint W4'!$F$20:$F$24,$A45)*1)</f>
        <v>0</v>
      </c>
      <c r="G45" s="15">
        <f>IF($A45="",0,COUNTIF('Sprint W5'!$B$20:$B$24,$A45)*5+COUNTIF('Sprint W5'!$C$20:$C$24,$A45)*4+COUNTIF('Sprint W5'!$D$20:$D$24,$A45)*3+COUNTIF('Sprint W5'!$E$20:$E$24,$A45)*2+COUNTIF('Sprint W5'!$F$20:$F$24,$A45)*1)</f>
        <v>0</v>
      </c>
      <c r="H45" s="25" t="str">
        <f t="shared" si="2"/>
        <v/>
      </c>
      <c r="I45" s="26" t="str">
        <f t="shared" si="3"/>
        <v/>
      </c>
      <c r="AA45">
        <f>'Sprint W2'!F23</f>
        <v>0</v>
      </c>
      <c r="AB45">
        <f>IF(AA45="",0,IF(COUNTIF($AA$1:AA45,AA45)=1,1,0))</f>
        <v>0</v>
      </c>
      <c r="AC45" t="str">
        <f>IF(AB45=1,COUNTIF($AB$1:AB45,1),"")</f>
        <v/>
      </c>
    </row>
    <row r="46" spans="1:29" x14ac:dyDescent="0.25">
      <c r="A46" s="13" t="str">
        <f>IFERROR(INDEX($AA$1:$AA$125,MATCH(43,$AC$1:$AC$125,0)),"")</f>
        <v/>
      </c>
      <c r="B46" s="33"/>
      <c r="C46" s="15">
        <f>IF($A46="",0,COUNTIF('Sprint W1'!$B$20:$B$24,$A46)*5+COUNTIF('Sprint W1'!$C$20:$C$24,$A46)*4+COUNTIF('Sprint W1'!$D$20:$D$24,$A46)*3+COUNTIF('Sprint W1'!$E$20:$E$24,$A46)*2+COUNTIF('Sprint W1'!$F$20:$F$24,$A46)*1)</f>
        <v>0</v>
      </c>
      <c r="D46" s="15">
        <f>IF($A46="",0,COUNTIF('Sprint W2'!$B$20:$B$24,$A46)*5+COUNTIF('Sprint W2'!$C$20:$C$24,$A46)*4+COUNTIF('Sprint W2'!$D$20:$D$24,$A46)*3+COUNTIF('Sprint W2'!$E$20:$E$24,$A46)*2+COUNTIF('Sprint W2'!$F$20:$F$24,$A46)*1)</f>
        <v>0</v>
      </c>
      <c r="E46" s="15">
        <f>IF($A46="",0,COUNTIF('Sprint W3'!$B$20:$B$24,$A46)*5+COUNTIF('Sprint W3'!$C$20:$C$24,$A46)*4+COUNTIF('Sprint W3'!$D$20:$D$24,$A46)*3+COUNTIF('Sprint W3'!$E$20:$E$24,$A46)*2+COUNTIF('Sprint W3'!$F$20:$F$24,$A46)*1)</f>
        <v>0</v>
      </c>
      <c r="F46" s="15">
        <f>IF($A46="",0,COUNTIF('Sprint W4'!$B$20:$B$24,$A46)*5+COUNTIF('Sprint W4'!$C$20:$C$24,$A46)*4+COUNTIF('Sprint W4'!$D$20:$D$24,$A46)*3+COUNTIF('Sprint W4'!$E$20:$E$24,$A46)*2+COUNTIF('Sprint W4'!$F$20:$F$24,$A46)*1)</f>
        <v>0</v>
      </c>
      <c r="G46" s="15">
        <f>IF($A46="",0,COUNTIF('Sprint W5'!$B$20:$B$24,$A46)*5+COUNTIF('Sprint W5'!$C$20:$C$24,$A46)*4+COUNTIF('Sprint W5'!$D$20:$D$24,$A46)*3+COUNTIF('Sprint W5'!$E$20:$E$24,$A46)*2+COUNTIF('Sprint W5'!$F$20:$F$24,$A46)*1)</f>
        <v>0</v>
      </c>
      <c r="H46" s="25" t="str">
        <f t="shared" si="2"/>
        <v/>
      </c>
      <c r="I46" s="26" t="str">
        <f t="shared" si="3"/>
        <v/>
      </c>
      <c r="AA46">
        <f>'Sprint W2'!B24</f>
        <v>0</v>
      </c>
      <c r="AB46">
        <f>IF(AA46="",0,IF(COUNTIF($AA$1:AA46,AA46)=1,1,0))</f>
        <v>0</v>
      </c>
      <c r="AC46" t="str">
        <f>IF(AB46=1,COUNTIF($AB$1:AB46,1),"")</f>
        <v/>
      </c>
    </row>
    <row r="47" spans="1:29" x14ac:dyDescent="0.25">
      <c r="A47" s="13" t="str">
        <f>IFERROR(INDEX($AA$1:$AA$125,MATCH(44,$AC$1:$AC$125,0)),"")</f>
        <v/>
      </c>
      <c r="B47" s="33"/>
      <c r="C47" s="15">
        <f>IF($A47="",0,COUNTIF('Sprint W1'!$B$20:$B$24,$A47)*5+COUNTIF('Sprint W1'!$C$20:$C$24,$A47)*4+COUNTIF('Sprint W1'!$D$20:$D$24,$A47)*3+COUNTIF('Sprint W1'!$E$20:$E$24,$A47)*2+COUNTIF('Sprint W1'!$F$20:$F$24,$A47)*1)</f>
        <v>0</v>
      </c>
      <c r="D47" s="15">
        <f>IF($A47="",0,COUNTIF('Sprint W2'!$B$20:$B$24,$A47)*5+COUNTIF('Sprint W2'!$C$20:$C$24,$A47)*4+COUNTIF('Sprint W2'!$D$20:$D$24,$A47)*3+COUNTIF('Sprint W2'!$E$20:$E$24,$A47)*2+COUNTIF('Sprint W2'!$F$20:$F$24,$A47)*1)</f>
        <v>0</v>
      </c>
      <c r="E47" s="15">
        <f>IF($A47="",0,COUNTIF('Sprint W3'!$B$20:$B$24,$A47)*5+COUNTIF('Sprint W3'!$C$20:$C$24,$A47)*4+COUNTIF('Sprint W3'!$D$20:$D$24,$A47)*3+COUNTIF('Sprint W3'!$E$20:$E$24,$A47)*2+COUNTIF('Sprint W3'!$F$20:$F$24,$A47)*1)</f>
        <v>0</v>
      </c>
      <c r="F47" s="15">
        <f>IF($A47="",0,COUNTIF('Sprint W4'!$B$20:$B$24,$A47)*5+COUNTIF('Sprint W4'!$C$20:$C$24,$A47)*4+COUNTIF('Sprint W4'!$D$20:$D$24,$A47)*3+COUNTIF('Sprint W4'!$E$20:$E$24,$A47)*2+COUNTIF('Sprint W4'!$F$20:$F$24,$A47)*1)</f>
        <v>0</v>
      </c>
      <c r="G47" s="15">
        <f>IF($A47="",0,COUNTIF('Sprint W5'!$B$20:$B$24,$A47)*5+COUNTIF('Sprint W5'!$C$20:$C$24,$A47)*4+COUNTIF('Sprint W5'!$D$20:$D$24,$A47)*3+COUNTIF('Sprint W5'!$E$20:$E$24,$A47)*2+COUNTIF('Sprint W5'!$F$20:$F$24,$A47)*1)</f>
        <v>0</v>
      </c>
      <c r="H47" s="25" t="str">
        <f t="shared" si="2"/>
        <v/>
      </c>
      <c r="I47" s="26" t="str">
        <f t="shared" si="3"/>
        <v/>
      </c>
      <c r="AA47">
        <f>'Sprint W2'!C24</f>
        <v>0</v>
      </c>
      <c r="AB47">
        <f>IF(AA47="",0,IF(COUNTIF($AA$1:AA47,AA47)=1,1,0))</f>
        <v>0</v>
      </c>
      <c r="AC47" t="str">
        <f>IF(AB47=1,COUNTIF($AB$1:AB47,1),"")</f>
        <v/>
      </c>
    </row>
    <row r="48" spans="1:29" x14ac:dyDescent="0.25">
      <c r="A48" s="13" t="str">
        <f>IFERROR(INDEX($AA$1:$AA$125,MATCH(45,$AC$1:$AC$125,0)),"")</f>
        <v/>
      </c>
      <c r="B48" s="33"/>
      <c r="C48" s="15">
        <f>IF($A48="",0,COUNTIF('Sprint W1'!$B$20:$B$24,$A48)*5+COUNTIF('Sprint W1'!$C$20:$C$24,$A48)*4+COUNTIF('Sprint W1'!$D$20:$D$24,$A48)*3+COUNTIF('Sprint W1'!$E$20:$E$24,$A48)*2+COUNTIF('Sprint W1'!$F$20:$F$24,$A48)*1)</f>
        <v>0</v>
      </c>
      <c r="D48" s="15">
        <f>IF($A48="",0,COUNTIF('Sprint W2'!$B$20:$B$24,$A48)*5+COUNTIF('Sprint W2'!$C$20:$C$24,$A48)*4+COUNTIF('Sprint W2'!$D$20:$D$24,$A48)*3+COUNTIF('Sprint W2'!$E$20:$E$24,$A48)*2+COUNTIF('Sprint W2'!$F$20:$F$24,$A48)*1)</f>
        <v>0</v>
      </c>
      <c r="E48" s="15">
        <f>IF($A48="",0,COUNTIF('Sprint W3'!$B$20:$B$24,$A48)*5+COUNTIF('Sprint W3'!$C$20:$C$24,$A48)*4+COUNTIF('Sprint W3'!$D$20:$D$24,$A48)*3+COUNTIF('Sprint W3'!$E$20:$E$24,$A48)*2+COUNTIF('Sprint W3'!$F$20:$F$24,$A48)*1)</f>
        <v>0</v>
      </c>
      <c r="F48" s="15">
        <f>IF($A48="",0,COUNTIF('Sprint W4'!$B$20:$B$24,$A48)*5+COUNTIF('Sprint W4'!$C$20:$C$24,$A48)*4+COUNTIF('Sprint W4'!$D$20:$D$24,$A48)*3+COUNTIF('Sprint W4'!$E$20:$E$24,$A48)*2+COUNTIF('Sprint W4'!$F$20:$F$24,$A48)*1)</f>
        <v>0</v>
      </c>
      <c r="G48" s="15">
        <f>IF($A48="",0,COUNTIF('Sprint W5'!$B$20:$B$24,$A48)*5+COUNTIF('Sprint W5'!$C$20:$C$24,$A48)*4+COUNTIF('Sprint W5'!$D$20:$D$24,$A48)*3+COUNTIF('Sprint W5'!$E$20:$E$24,$A48)*2+COUNTIF('Sprint W5'!$F$20:$F$24,$A48)*1)</f>
        <v>0</v>
      </c>
      <c r="H48" s="25" t="str">
        <f t="shared" si="2"/>
        <v/>
      </c>
      <c r="I48" s="26" t="str">
        <f t="shared" si="3"/>
        <v/>
      </c>
      <c r="AA48">
        <f>'Sprint W2'!D24</f>
        <v>0</v>
      </c>
      <c r="AB48">
        <f>IF(AA48="",0,IF(COUNTIF($AA$1:AA48,AA48)=1,1,0))</f>
        <v>0</v>
      </c>
      <c r="AC48" t="str">
        <f>IF(AB48=1,COUNTIF($AB$1:AB48,1),"")</f>
        <v/>
      </c>
    </row>
    <row r="49" spans="1:29" x14ac:dyDescent="0.25">
      <c r="A49" s="13" t="str">
        <f>IFERROR(INDEX($AA$1:$AA$125,MATCH(46,$AC$1:$AC$125,0)),"")</f>
        <v/>
      </c>
      <c r="B49" s="33"/>
      <c r="C49" s="15">
        <f>IF($A49="",0,COUNTIF('Sprint W1'!$B$20:$B$24,$A49)*5+COUNTIF('Sprint W1'!$C$20:$C$24,$A49)*4+COUNTIF('Sprint W1'!$D$20:$D$24,$A49)*3+COUNTIF('Sprint W1'!$E$20:$E$24,$A49)*2+COUNTIF('Sprint W1'!$F$20:$F$24,$A49)*1)</f>
        <v>0</v>
      </c>
      <c r="D49" s="15">
        <f>IF($A49="",0,COUNTIF('Sprint W2'!$B$20:$B$24,$A49)*5+COUNTIF('Sprint W2'!$C$20:$C$24,$A49)*4+COUNTIF('Sprint W2'!$D$20:$D$24,$A49)*3+COUNTIF('Sprint W2'!$E$20:$E$24,$A49)*2+COUNTIF('Sprint W2'!$F$20:$F$24,$A49)*1)</f>
        <v>0</v>
      </c>
      <c r="E49" s="15">
        <f>IF($A49="",0,COUNTIF('Sprint W3'!$B$20:$B$24,$A49)*5+COUNTIF('Sprint W3'!$C$20:$C$24,$A49)*4+COUNTIF('Sprint W3'!$D$20:$D$24,$A49)*3+COUNTIF('Sprint W3'!$E$20:$E$24,$A49)*2+COUNTIF('Sprint W3'!$F$20:$F$24,$A49)*1)</f>
        <v>0</v>
      </c>
      <c r="F49" s="15">
        <f>IF($A49="",0,COUNTIF('Sprint W4'!$B$20:$B$24,$A49)*5+COUNTIF('Sprint W4'!$C$20:$C$24,$A49)*4+COUNTIF('Sprint W4'!$D$20:$D$24,$A49)*3+COUNTIF('Sprint W4'!$E$20:$E$24,$A49)*2+COUNTIF('Sprint W4'!$F$20:$F$24,$A49)*1)</f>
        <v>0</v>
      </c>
      <c r="G49" s="15">
        <f>IF($A49="",0,COUNTIF('Sprint W5'!$B$20:$B$24,$A49)*5+COUNTIF('Sprint W5'!$C$20:$C$24,$A49)*4+COUNTIF('Sprint W5'!$D$20:$D$24,$A49)*3+COUNTIF('Sprint W5'!$E$20:$E$24,$A49)*2+COUNTIF('Sprint W5'!$F$20:$F$24,$A49)*1)</f>
        <v>0</v>
      </c>
      <c r="H49" s="25" t="str">
        <f t="shared" si="2"/>
        <v/>
      </c>
      <c r="I49" s="26" t="str">
        <f t="shared" si="3"/>
        <v/>
      </c>
      <c r="AA49">
        <f>'Sprint W2'!E24</f>
        <v>0</v>
      </c>
      <c r="AB49">
        <f>IF(AA49="",0,IF(COUNTIF($AA$1:AA49,AA49)=1,1,0))</f>
        <v>0</v>
      </c>
      <c r="AC49" t="str">
        <f>IF(AB49=1,COUNTIF($AB$1:AB49,1),"")</f>
        <v/>
      </c>
    </row>
    <row r="50" spans="1:29" x14ac:dyDescent="0.25">
      <c r="A50" s="13" t="str">
        <f>IFERROR(INDEX($AA$1:$AA$125,MATCH(47,$AC$1:$AC$125,0)),"")</f>
        <v/>
      </c>
      <c r="B50" s="33"/>
      <c r="C50" s="15">
        <f>IF($A50="",0,COUNTIF('Sprint W1'!$B$20:$B$24,$A50)*5+COUNTIF('Sprint W1'!$C$20:$C$24,$A50)*4+COUNTIF('Sprint W1'!$D$20:$D$24,$A50)*3+COUNTIF('Sprint W1'!$E$20:$E$24,$A50)*2+COUNTIF('Sprint W1'!$F$20:$F$24,$A50)*1)</f>
        <v>0</v>
      </c>
      <c r="D50" s="15">
        <f>IF($A50="",0,COUNTIF('Sprint W2'!$B$20:$B$24,$A50)*5+COUNTIF('Sprint W2'!$C$20:$C$24,$A50)*4+COUNTIF('Sprint W2'!$D$20:$D$24,$A50)*3+COUNTIF('Sprint W2'!$E$20:$E$24,$A50)*2+COUNTIF('Sprint W2'!$F$20:$F$24,$A50)*1)</f>
        <v>0</v>
      </c>
      <c r="E50" s="15">
        <f>IF($A50="",0,COUNTIF('Sprint W3'!$B$20:$B$24,$A50)*5+COUNTIF('Sprint W3'!$C$20:$C$24,$A50)*4+COUNTIF('Sprint W3'!$D$20:$D$24,$A50)*3+COUNTIF('Sprint W3'!$E$20:$E$24,$A50)*2+COUNTIF('Sprint W3'!$F$20:$F$24,$A50)*1)</f>
        <v>0</v>
      </c>
      <c r="F50" s="15">
        <f>IF($A50="",0,COUNTIF('Sprint W4'!$B$20:$B$24,$A50)*5+COUNTIF('Sprint W4'!$C$20:$C$24,$A50)*4+COUNTIF('Sprint W4'!$D$20:$D$24,$A50)*3+COUNTIF('Sprint W4'!$E$20:$E$24,$A50)*2+COUNTIF('Sprint W4'!$F$20:$F$24,$A50)*1)</f>
        <v>0</v>
      </c>
      <c r="G50" s="15">
        <f>IF($A50="",0,COUNTIF('Sprint W5'!$B$20:$B$24,$A50)*5+COUNTIF('Sprint W5'!$C$20:$C$24,$A50)*4+COUNTIF('Sprint W5'!$D$20:$D$24,$A50)*3+COUNTIF('Sprint W5'!$E$20:$E$24,$A50)*2+COUNTIF('Sprint W5'!$F$20:$F$24,$A50)*1)</f>
        <v>0</v>
      </c>
      <c r="H50" s="25" t="str">
        <f t="shared" si="2"/>
        <v/>
      </c>
      <c r="I50" s="26" t="str">
        <f t="shared" si="3"/>
        <v/>
      </c>
      <c r="AA50">
        <f>'Sprint W2'!F24</f>
        <v>0</v>
      </c>
      <c r="AB50">
        <f>IF(AA50="",0,IF(COUNTIF($AA$1:AA50,AA50)=1,1,0))</f>
        <v>0</v>
      </c>
      <c r="AC50" t="str">
        <f>IF(AB50=1,COUNTIF($AB$1:AB50,1),"")</f>
        <v/>
      </c>
    </row>
    <row r="51" spans="1:29" x14ac:dyDescent="0.25">
      <c r="A51" s="13" t="str">
        <f>IFERROR(INDEX($AA$1:$AA$125,MATCH(48,$AC$1:$AC$125,0)),"")</f>
        <v/>
      </c>
      <c r="B51" s="33"/>
      <c r="C51" s="15">
        <f>IF($A51="",0,COUNTIF('Sprint W1'!$B$20:$B$24,$A51)*5+COUNTIF('Sprint W1'!$C$20:$C$24,$A51)*4+COUNTIF('Sprint W1'!$D$20:$D$24,$A51)*3+COUNTIF('Sprint W1'!$E$20:$E$24,$A51)*2+COUNTIF('Sprint W1'!$F$20:$F$24,$A51)*1)</f>
        <v>0</v>
      </c>
      <c r="D51" s="15">
        <f>IF($A51="",0,COUNTIF('Sprint W2'!$B$20:$B$24,$A51)*5+COUNTIF('Sprint W2'!$C$20:$C$24,$A51)*4+COUNTIF('Sprint W2'!$D$20:$D$24,$A51)*3+COUNTIF('Sprint W2'!$E$20:$E$24,$A51)*2+COUNTIF('Sprint W2'!$F$20:$F$24,$A51)*1)</f>
        <v>0</v>
      </c>
      <c r="E51" s="15">
        <f>IF($A51="",0,COUNTIF('Sprint W3'!$B$20:$B$24,$A51)*5+COUNTIF('Sprint W3'!$C$20:$C$24,$A51)*4+COUNTIF('Sprint W3'!$D$20:$D$24,$A51)*3+COUNTIF('Sprint W3'!$E$20:$E$24,$A51)*2+COUNTIF('Sprint W3'!$F$20:$F$24,$A51)*1)</f>
        <v>0</v>
      </c>
      <c r="F51" s="15">
        <f>IF($A51="",0,COUNTIF('Sprint W4'!$B$20:$B$24,$A51)*5+COUNTIF('Sprint W4'!$C$20:$C$24,$A51)*4+COUNTIF('Sprint W4'!$D$20:$D$24,$A51)*3+COUNTIF('Sprint W4'!$E$20:$E$24,$A51)*2+COUNTIF('Sprint W4'!$F$20:$F$24,$A51)*1)</f>
        <v>0</v>
      </c>
      <c r="G51" s="15">
        <f>IF($A51="",0,COUNTIF('Sprint W5'!$B$20:$B$24,$A51)*5+COUNTIF('Sprint W5'!$C$20:$C$24,$A51)*4+COUNTIF('Sprint W5'!$D$20:$D$24,$A51)*3+COUNTIF('Sprint W5'!$E$20:$E$24,$A51)*2+COUNTIF('Sprint W5'!$F$20:$F$24,$A51)*1)</f>
        <v>0</v>
      </c>
      <c r="H51" s="25" t="str">
        <f t="shared" si="2"/>
        <v/>
      </c>
      <c r="I51" s="26" t="str">
        <f t="shared" si="3"/>
        <v/>
      </c>
      <c r="AA51" t="str">
        <f>'Sprint W3'!B20</f>
        <v>Owen Chenault</v>
      </c>
      <c r="AB51">
        <f>IF(AA51="",0,IF(COUNTIF($AA$1:AA51,AA51)=1,1,0))</f>
        <v>1</v>
      </c>
      <c r="AC51">
        <f>IF(AB51=1,COUNTIF($AB$1:AB51,1),"")</f>
        <v>5</v>
      </c>
    </row>
    <row r="52" spans="1:29" x14ac:dyDescent="0.25">
      <c r="A52" s="13" t="str">
        <f>IFERROR(INDEX($AA$1:$AA$125,MATCH(49,$AC$1:$AC$125,0)),"")</f>
        <v/>
      </c>
      <c r="B52" s="33"/>
      <c r="C52" s="15">
        <f>IF($A52="",0,COUNTIF('Sprint W1'!$B$20:$B$24,$A52)*5+COUNTIF('Sprint W1'!$C$20:$C$24,$A52)*4+COUNTIF('Sprint W1'!$D$20:$D$24,$A52)*3+COUNTIF('Sprint W1'!$E$20:$E$24,$A52)*2+COUNTIF('Sprint W1'!$F$20:$F$24,$A52)*1)</f>
        <v>0</v>
      </c>
      <c r="D52" s="15">
        <f>IF($A52="",0,COUNTIF('Sprint W2'!$B$20:$B$24,$A52)*5+COUNTIF('Sprint W2'!$C$20:$C$24,$A52)*4+COUNTIF('Sprint W2'!$D$20:$D$24,$A52)*3+COUNTIF('Sprint W2'!$E$20:$E$24,$A52)*2+COUNTIF('Sprint W2'!$F$20:$F$24,$A52)*1)</f>
        <v>0</v>
      </c>
      <c r="E52" s="15">
        <f>IF($A52="",0,COUNTIF('Sprint W3'!$B$20:$B$24,$A52)*5+COUNTIF('Sprint W3'!$C$20:$C$24,$A52)*4+COUNTIF('Sprint W3'!$D$20:$D$24,$A52)*3+COUNTIF('Sprint W3'!$E$20:$E$24,$A52)*2+COUNTIF('Sprint W3'!$F$20:$F$24,$A52)*1)</f>
        <v>0</v>
      </c>
      <c r="F52" s="15">
        <f>IF($A52="",0,COUNTIF('Sprint W4'!$B$20:$B$24,$A52)*5+COUNTIF('Sprint W4'!$C$20:$C$24,$A52)*4+COUNTIF('Sprint W4'!$D$20:$D$24,$A52)*3+COUNTIF('Sprint W4'!$E$20:$E$24,$A52)*2+COUNTIF('Sprint W4'!$F$20:$F$24,$A52)*1)</f>
        <v>0</v>
      </c>
      <c r="G52" s="15">
        <f>IF($A52="",0,COUNTIF('Sprint W5'!$B$20:$B$24,$A52)*5+COUNTIF('Sprint W5'!$C$20:$C$24,$A52)*4+COUNTIF('Sprint W5'!$D$20:$D$24,$A52)*3+COUNTIF('Sprint W5'!$E$20:$E$24,$A52)*2+COUNTIF('Sprint W5'!$F$20:$F$24,$A52)*1)</f>
        <v>0</v>
      </c>
      <c r="H52" s="25" t="str">
        <f t="shared" si="2"/>
        <v/>
      </c>
      <c r="I52" s="26" t="str">
        <f t="shared" si="3"/>
        <v/>
      </c>
      <c r="AA52" t="e">
        <f>'Sprint W3'!#REF!</f>
        <v>#REF!</v>
      </c>
      <c r="AB52" t="e">
        <f>IF(AA52="",0,IF(COUNTIF($AA$1:AA52,AA52)=1,1,0))</f>
        <v>#REF!</v>
      </c>
      <c r="AC52" t="e">
        <f>IF(AB52=1,COUNTIF($AB$1:AB52,1),"")</f>
        <v>#REF!</v>
      </c>
    </row>
    <row r="53" spans="1:29" x14ac:dyDescent="0.25">
      <c r="A53" s="13" t="str">
        <f>IFERROR(INDEX($AA$1:$AA$125,MATCH(50,$AC$1:$AC$125,0)),"")</f>
        <v/>
      </c>
      <c r="B53" s="33"/>
      <c r="C53" s="15">
        <f>IF($A53="",0,COUNTIF('Sprint W1'!$B$20:$B$24,$A53)*5+COUNTIF('Sprint W1'!$C$20:$C$24,$A53)*4+COUNTIF('Sprint W1'!$D$20:$D$24,$A53)*3+COUNTIF('Sprint W1'!$E$20:$E$24,$A53)*2+COUNTIF('Sprint W1'!$F$20:$F$24,$A53)*1)</f>
        <v>0</v>
      </c>
      <c r="D53" s="15">
        <f>IF($A53="",0,COUNTIF('Sprint W2'!$B$20:$B$24,$A53)*5+COUNTIF('Sprint W2'!$C$20:$C$24,$A53)*4+COUNTIF('Sprint W2'!$D$20:$D$24,$A53)*3+COUNTIF('Sprint W2'!$E$20:$E$24,$A53)*2+COUNTIF('Sprint W2'!$F$20:$F$24,$A53)*1)</f>
        <v>0</v>
      </c>
      <c r="E53" s="15">
        <f>IF($A53="",0,COUNTIF('Sprint W3'!$B$20:$B$24,$A53)*5+COUNTIF('Sprint W3'!$C$20:$C$24,$A53)*4+COUNTIF('Sprint W3'!$D$20:$D$24,$A53)*3+COUNTIF('Sprint W3'!$E$20:$E$24,$A53)*2+COUNTIF('Sprint W3'!$F$20:$F$24,$A53)*1)</f>
        <v>0</v>
      </c>
      <c r="F53" s="15">
        <f>IF($A53="",0,COUNTIF('Sprint W4'!$B$20:$B$24,$A53)*5+COUNTIF('Sprint W4'!$C$20:$C$24,$A53)*4+COUNTIF('Sprint W4'!$D$20:$D$24,$A53)*3+COUNTIF('Sprint W4'!$E$20:$E$24,$A53)*2+COUNTIF('Sprint W4'!$F$20:$F$24,$A53)*1)</f>
        <v>0</v>
      </c>
      <c r="G53" s="15">
        <f>IF($A53="",0,COUNTIF('Sprint W5'!$B$20:$B$24,$A53)*5+COUNTIF('Sprint W5'!$C$20:$C$24,$A53)*4+COUNTIF('Sprint W5'!$D$20:$D$24,$A53)*3+COUNTIF('Sprint W5'!$E$20:$E$24,$A53)*2+COUNTIF('Sprint W5'!$F$20:$F$24,$A53)*1)</f>
        <v>0</v>
      </c>
      <c r="H53" s="25" t="str">
        <f t="shared" si="2"/>
        <v/>
      </c>
      <c r="I53" s="26" t="str">
        <f t="shared" si="3"/>
        <v/>
      </c>
      <c r="AA53" t="str">
        <f>'Sprint W3'!D20</f>
        <v>Floris Otto</v>
      </c>
      <c r="AB53">
        <f>IF(AA53="",0,IF(COUNTIF($AA$1:AA53,AA53)=1,1,0))</f>
        <v>1</v>
      </c>
      <c r="AC53">
        <f>IF(AB53=1,COUNTIF($AB$1:AB53,1),"")</f>
        <v>6</v>
      </c>
    </row>
    <row r="54" spans="1:29" x14ac:dyDescent="0.25">
      <c r="A54" s="13" t="str">
        <f>IFERROR(INDEX($AA$1:$AA$125,MATCH(51,$AC$1:$AC$125,0)),"")</f>
        <v/>
      </c>
      <c r="B54" s="33"/>
      <c r="C54" s="15">
        <f>IF($A54="",0,COUNTIF('Sprint W1'!$B$20:$B$24,$A54)*5+COUNTIF('Sprint W1'!$C$20:$C$24,$A54)*4+COUNTIF('Sprint W1'!$D$20:$D$24,$A54)*3+COUNTIF('Sprint W1'!$E$20:$E$24,$A54)*2+COUNTIF('Sprint W1'!$F$20:$F$24,$A54)*1)</f>
        <v>0</v>
      </c>
      <c r="D54" s="15">
        <f>IF($A54="",0,COUNTIF('Sprint W2'!$B$20:$B$24,$A54)*5+COUNTIF('Sprint W2'!$C$20:$C$24,$A54)*4+COUNTIF('Sprint W2'!$D$20:$D$24,$A54)*3+COUNTIF('Sprint W2'!$E$20:$E$24,$A54)*2+COUNTIF('Sprint W2'!$F$20:$F$24,$A54)*1)</f>
        <v>0</v>
      </c>
      <c r="E54" s="15">
        <f>IF($A54="",0,COUNTIF('Sprint W3'!$B$20:$B$24,$A54)*5+COUNTIF('Sprint W3'!$C$20:$C$24,$A54)*4+COUNTIF('Sprint W3'!$D$20:$D$24,$A54)*3+COUNTIF('Sprint W3'!$E$20:$E$24,$A54)*2+COUNTIF('Sprint W3'!$F$20:$F$24,$A54)*1)</f>
        <v>0</v>
      </c>
      <c r="F54" s="15">
        <f>IF($A54="",0,COUNTIF('Sprint W4'!$B$20:$B$24,$A54)*5+COUNTIF('Sprint W4'!$C$20:$C$24,$A54)*4+COUNTIF('Sprint W4'!$D$20:$D$24,$A54)*3+COUNTIF('Sprint W4'!$E$20:$E$24,$A54)*2+COUNTIF('Sprint W4'!$F$20:$F$24,$A54)*1)</f>
        <v>0</v>
      </c>
      <c r="G54" s="15">
        <f>IF($A54="",0,COUNTIF('Sprint W5'!$B$20:$B$24,$A54)*5+COUNTIF('Sprint W5'!$C$20:$C$24,$A54)*4+COUNTIF('Sprint W5'!$D$20:$D$24,$A54)*3+COUNTIF('Sprint W5'!$E$20:$E$24,$A54)*2+COUNTIF('Sprint W5'!$F$20:$F$24,$A54)*1)</f>
        <v>0</v>
      </c>
      <c r="H54" s="25" t="str">
        <f t="shared" si="2"/>
        <v/>
      </c>
      <c r="I54" s="26" t="str">
        <f t="shared" si="3"/>
        <v/>
      </c>
      <c r="AA54" t="str">
        <f>'Sprint W3'!E20</f>
        <v>levi van der Kaa</v>
      </c>
      <c r="AB54">
        <f>IF(AA54="",0,IF(COUNTIF($AA$1:AA54,AA54)=1,1,0))</f>
        <v>1</v>
      </c>
      <c r="AC54">
        <f>IF(AB54=1,COUNTIF($AB$1:AB54,1),"")</f>
        <v>7</v>
      </c>
    </row>
    <row r="55" spans="1:29" x14ac:dyDescent="0.25">
      <c r="A55" s="13" t="str">
        <f>IFERROR(INDEX($AA$1:$AA$125,MATCH(52,$AC$1:$AC$125,0)),"")</f>
        <v/>
      </c>
      <c r="B55" s="33"/>
      <c r="C55" s="15">
        <f>IF($A55="",0,COUNTIF('Sprint W1'!$B$20:$B$24,$A55)*5+COUNTIF('Sprint W1'!$C$20:$C$24,$A55)*4+COUNTIF('Sprint W1'!$D$20:$D$24,$A55)*3+COUNTIF('Sprint W1'!$E$20:$E$24,$A55)*2+COUNTIF('Sprint W1'!$F$20:$F$24,$A55)*1)</f>
        <v>0</v>
      </c>
      <c r="D55" s="15">
        <f>IF($A55="",0,COUNTIF('Sprint W2'!$B$20:$B$24,$A55)*5+COUNTIF('Sprint W2'!$C$20:$C$24,$A55)*4+COUNTIF('Sprint W2'!$D$20:$D$24,$A55)*3+COUNTIF('Sprint W2'!$E$20:$E$24,$A55)*2+COUNTIF('Sprint W2'!$F$20:$F$24,$A55)*1)</f>
        <v>0</v>
      </c>
      <c r="E55" s="15">
        <f>IF($A55="",0,COUNTIF('Sprint W3'!$B$20:$B$24,$A55)*5+COUNTIF('Sprint W3'!$C$20:$C$24,$A55)*4+COUNTIF('Sprint W3'!$D$20:$D$24,$A55)*3+COUNTIF('Sprint W3'!$E$20:$E$24,$A55)*2+COUNTIF('Sprint W3'!$F$20:$F$24,$A55)*1)</f>
        <v>0</v>
      </c>
      <c r="F55" s="15">
        <f>IF($A55="",0,COUNTIF('Sprint W4'!$B$20:$B$24,$A55)*5+COUNTIF('Sprint W4'!$C$20:$C$24,$A55)*4+COUNTIF('Sprint W4'!$D$20:$D$24,$A55)*3+COUNTIF('Sprint W4'!$E$20:$E$24,$A55)*2+COUNTIF('Sprint W4'!$F$20:$F$24,$A55)*1)</f>
        <v>0</v>
      </c>
      <c r="G55" s="15">
        <f>IF($A55="",0,COUNTIF('Sprint W5'!$B$20:$B$24,$A55)*5+COUNTIF('Sprint W5'!$C$20:$C$24,$A55)*4+COUNTIF('Sprint W5'!$D$20:$D$24,$A55)*3+COUNTIF('Sprint W5'!$E$20:$E$24,$A55)*2+COUNTIF('Sprint W5'!$F$20:$F$24,$A55)*1)</f>
        <v>0</v>
      </c>
      <c r="H55" s="25" t="str">
        <f t="shared" si="2"/>
        <v/>
      </c>
      <c r="I55" s="26" t="str">
        <f t="shared" si="3"/>
        <v/>
      </c>
      <c r="AA55" t="str">
        <f>'Sprint W3'!F20</f>
        <v>Milan Docter</v>
      </c>
      <c r="AB55">
        <f>IF(AA55="",0,IF(COUNTIF($AA$1:AA55,AA55)=1,1,0))</f>
        <v>1</v>
      </c>
      <c r="AC55">
        <f>IF(AB55=1,COUNTIF($AB$1:AB55,1),"")</f>
        <v>8</v>
      </c>
    </row>
    <row r="56" spans="1:29" x14ac:dyDescent="0.25">
      <c r="A56" s="13" t="str">
        <f>IFERROR(INDEX($AA$1:$AA$125,MATCH(53,$AC$1:$AC$125,0)),"")</f>
        <v/>
      </c>
      <c r="B56" s="33"/>
      <c r="C56" s="15">
        <f>IF($A56="",0,COUNTIF('Sprint W1'!$B$20:$B$24,$A56)*5+COUNTIF('Sprint W1'!$C$20:$C$24,$A56)*4+COUNTIF('Sprint W1'!$D$20:$D$24,$A56)*3+COUNTIF('Sprint W1'!$E$20:$E$24,$A56)*2+COUNTIF('Sprint W1'!$F$20:$F$24,$A56)*1)</f>
        <v>0</v>
      </c>
      <c r="D56" s="15">
        <f>IF($A56="",0,COUNTIF('Sprint W2'!$B$20:$B$24,$A56)*5+COUNTIF('Sprint W2'!$C$20:$C$24,$A56)*4+COUNTIF('Sprint W2'!$D$20:$D$24,$A56)*3+COUNTIF('Sprint W2'!$E$20:$E$24,$A56)*2+COUNTIF('Sprint W2'!$F$20:$F$24,$A56)*1)</f>
        <v>0</v>
      </c>
      <c r="E56" s="15">
        <f>IF($A56="",0,COUNTIF('Sprint W3'!$B$20:$B$24,$A56)*5+COUNTIF('Sprint W3'!$C$20:$C$24,$A56)*4+COUNTIF('Sprint W3'!$D$20:$D$24,$A56)*3+COUNTIF('Sprint W3'!$E$20:$E$24,$A56)*2+COUNTIF('Sprint W3'!$F$20:$F$24,$A56)*1)</f>
        <v>0</v>
      </c>
      <c r="F56" s="15">
        <f>IF($A56="",0,COUNTIF('Sprint W4'!$B$20:$B$24,$A56)*5+COUNTIF('Sprint W4'!$C$20:$C$24,$A56)*4+COUNTIF('Sprint W4'!$D$20:$D$24,$A56)*3+COUNTIF('Sprint W4'!$E$20:$E$24,$A56)*2+COUNTIF('Sprint W4'!$F$20:$F$24,$A56)*1)</f>
        <v>0</v>
      </c>
      <c r="G56" s="15">
        <f>IF($A56="",0,COUNTIF('Sprint W5'!$B$20:$B$24,$A56)*5+COUNTIF('Sprint W5'!$C$20:$C$24,$A56)*4+COUNTIF('Sprint W5'!$D$20:$D$24,$A56)*3+COUNTIF('Sprint W5'!$E$20:$E$24,$A56)*2+COUNTIF('Sprint W5'!$F$20:$F$24,$A56)*1)</f>
        <v>0</v>
      </c>
      <c r="H56" s="25" t="str">
        <f t="shared" si="2"/>
        <v/>
      </c>
      <c r="I56" s="26" t="str">
        <f t="shared" si="3"/>
        <v/>
      </c>
      <c r="AA56" t="str">
        <f>'Sprint W3'!C20</f>
        <v>Finn Klaus</v>
      </c>
      <c r="AB56">
        <f>IF(AA56="",0,IF(COUNTIF($AA$1:AA56,AA56)=1,1,0))</f>
        <v>1</v>
      </c>
      <c r="AC56">
        <f>IF(AB56=1,COUNTIF($AB$1:AB56,1),"")</f>
        <v>9</v>
      </c>
    </row>
    <row r="57" spans="1:29" x14ac:dyDescent="0.25">
      <c r="A57" s="13" t="str">
        <f>IFERROR(INDEX($AA$1:$AA$125,MATCH(54,$AC$1:$AC$125,0)),"")</f>
        <v/>
      </c>
      <c r="B57" s="33"/>
      <c r="C57" s="15">
        <f>IF($A57="",0,COUNTIF('Sprint W1'!$B$20:$B$24,$A57)*5+COUNTIF('Sprint W1'!$C$20:$C$24,$A57)*4+COUNTIF('Sprint W1'!$D$20:$D$24,$A57)*3+COUNTIF('Sprint W1'!$E$20:$E$24,$A57)*2+COUNTIF('Sprint W1'!$F$20:$F$24,$A57)*1)</f>
        <v>0</v>
      </c>
      <c r="D57" s="15">
        <f>IF($A57="",0,COUNTIF('Sprint W2'!$B$20:$B$24,$A57)*5+COUNTIF('Sprint W2'!$C$20:$C$24,$A57)*4+COUNTIF('Sprint W2'!$D$20:$D$24,$A57)*3+COUNTIF('Sprint W2'!$E$20:$E$24,$A57)*2+COUNTIF('Sprint W2'!$F$20:$F$24,$A57)*1)</f>
        <v>0</v>
      </c>
      <c r="E57" s="15">
        <f>IF($A57="",0,COUNTIF('Sprint W3'!$B$20:$B$24,$A57)*5+COUNTIF('Sprint W3'!$C$20:$C$24,$A57)*4+COUNTIF('Sprint W3'!$D$20:$D$24,$A57)*3+COUNTIF('Sprint W3'!$E$20:$E$24,$A57)*2+COUNTIF('Sprint W3'!$F$20:$F$24,$A57)*1)</f>
        <v>0</v>
      </c>
      <c r="F57" s="15">
        <f>IF($A57="",0,COUNTIF('Sprint W4'!$B$20:$B$24,$A57)*5+COUNTIF('Sprint W4'!$C$20:$C$24,$A57)*4+COUNTIF('Sprint W4'!$D$20:$D$24,$A57)*3+COUNTIF('Sprint W4'!$E$20:$E$24,$A57)*2+COUNTIF('Sprint W4'!$F$20:$F$24,$A57)*1)</f>
        <v>0</v>
      </c>
      <c r="G57" s="15">
        <f>IF($A57="",0,COUNTIF('Sprint W5'!$B$20:$B$24,$A57)*5+COUNTIF('Sprint W5'!$C$20:$C$24,$A57)*4+COUNTIF('Sprint W5'!$D$20:$D$24,$A57)*3+COUNTIF('Sprint W5'!$E$20:$E$24,$A57)*2+COUNTIF('Sprint W5'!$F$20:$F$24,$A57)*1)</f>
        <v>0</v>
      </c>
      <c r="H57" s="25" t="str">
        <f t="shared" si="2"/>
        <v/>
      </c>
      <c r="I57" s="26" t="str">
        <f t="shared" si="3"/>
        <v/>
      </c>
      <c r="AA57" t="str">
        <f>'Sprint W3'!C21</f>
        <v>Owen Chenault</v>
      </c>
      <c r="AB57">
        <f>IF(AA57="",0,IF(COUNTIF($AA$1:AA57,AA57)=1,1,0))</f>
        <v>0</v>
      </c>
      <c r="AC57" t="str">
        <f>IF(AB57=1,COUNTIF($AB$1:AB57,1),"")</f>
        <v/>
      </c>
    </row>
    <row r="58" spans="1:29" x14ac:dyDescent="0.25">
      <c r="A58" s="13" t="str">
        <f>IFERROR(INDEX($AA$1:$AA$125,MATCH(55,$AC$1:$AC$125,0)),"")</f>
        <v/>
      </c>
      <c r="B58" s="33"/>
      <c r="C58" s="15">
        <f>IF($A58="",0,COUNTIF('Sprint W1'!$B$20:$B$24,$A58)*5+COUNTIF('Sprint W1'!$C$20:$C$24,$A58)*4+COUNTIF('Sprint W1'!$D$20:$D$24,$A58)*3+COUNTIF('Sprint W1'!$E$20:$E$24,$A58)*2+COUNTIF('Sprint W1'!$F$20:$F$24,$A58)*1)</f>
        <v>0</v>
      </c>
      <c r="D58" s="15">
        <f>IF($A58="",0,COUNTIF('Sprint W2'!$B$20:$B$24,$A58)*5+COUNTIF('Sprint W2'!$C$20:$C$24,$A58)*4+COUNTIF('Sprint W2'!$D$20:$D$24,$A58)*3+COUNTIF('Sprint W2'!$E$20:$E$24,$A58)*2+COUNTIF('Sprint W2'!$F$20:$F$24,$A58)*1)</f>
        <v>0</v>
      </c>
      <c r="E58" s="15">
        <f>IF($A58="",0,COUNTIF('Sprint W3'!$B$20:$B$24,$A58)*5+COUNTIF('Sprint W3'!$C$20:$C$24,$A58)*4+COUNTIF('Sprint W3'!$D$20:$D$24,$A58)*3+COUNTIF('Sprint W3'!$E$20:$E$24,$A58)*2+COUNTIF('Sprint W3'!$F$20:$F$24,$A58)*1)</f>
        <v>0</v>
      </c>
      <c r="F58" s="15">
        <f>IF($A58="",0,COUNTIF('Sprint W4'!$B$20:$B$24,$A58)*5+COUNTIF('Sprint W4'!$C$20:$C$24,$A58)*4+COUNTIF('Sprint W4'!$D$20:$D$24,$A58)*3+COUNTIF('Sprint W4'!$E$20:$E$24,$A58)*2+COUNTIF('Sprint W4'!$F$20:$F$24,$A58)*1)</f>
        <v>0</v>
      </c>
      <c r="G58" s="15">
        <f>IF($A58="",0,COUNTIF('Sprint W5'!$B$20:$B$24,$A58)*5+COUNTIF('Sprint W5'!$C$20:$C$24,$A58)*4+COUNTIF('Sprint W5'!$D$20:$D$24,$A58)*3+COUNTIF('Sprint W5'!$E$20:$E$24,$A58)*2+COUNTIF('Sprint W5'!$F$20:$F$24,$A58)*1)</f>
        <v>0</v>
      </c>
      <c r="H58" s="25" t="str">
        <f t="shared" si="2"/>
        <v/>
      </c>
      <c r="I58" s="26" t="str">
        <f t="shared" si="3"/>
        <v/>
      </c>
      <c r="AA58" t="str">
        <f>'Sprint W3'!D21</f>
        <v>Nick Snippe</v>
      </c>
      <c r="AB58">
        <f>IF(AA58="",0,IF(COUNTIF($AA$1:AA58,AA58)=1,1,0))</f>
        <v>1</v>
      </c>
      <c r="AC58">
        <f>IF(AB58=1,COUNTIF($AB$1:AB58,1),"")</f>
        <v>10</v>
      </c>
    </row>
    <row r="59" spans="1:29" x14ac:dyDescent="0.25">
      <c r="A59" s="13" t="str">
        <f>IFERROR(INDEX($AA$1:$AA$125,MATCH(56,$AC$1:$AC$125,0)),"")</f>
        <v/>
      </c>
      <c r="B59" s="33"/>
      <c r="C59" s="15">
        <f>IF($A59="",0,COUNTIF('Sprint W1'!$B$20:$B$24,$A59)*5+COUNTIF('Sprint W1'!$C$20:$C$24,$A59)*4+COUNTIF('Sprint W1'!$D$20:$D$24,$A59)*3+COUNTIF('Sprint W1'!$E$20:$E$24,$A59)*2+COUNTIF('Sprint W1'!$F$20:$F$24,$A59)*1)</f>
        <v>0</v>
      </c>
      <c r="D59" s="15">
        <f>IF($A59="",0,COUNTIF('Sprint W2'!$B$20:$B$24,$A59)*5+COUNTIF('Sprint W2'!$C$20:$C$24,$A59)*4+COUNTIF('Sprint W2'!$D$20:$D$24,$A59)*3+COUNTIF('Sprint W2'!$E$20:$E$24,$A59)*2+COUNTIF('Sprint W2'!$F$20:$F$24,$A59)*1)</f>
        <v>0</v>
      </c>
      <c r="E59" s="15">
        <f>IF($A59="",0,COUNTIF('Sprint W3'!$B$20:$B$24,$A59)*5+COUNTIF('Sprint W3'!$C$20:$C$24,$A59)*4+COUNTIF('Sprint W3'!$D$20:$D$24,$A59)*3+COUNTIF('Sprint W3'!$E$20:$E$24,$A59)*2+COUNTIF('Sprint W3'!$F$20:$F$24,$A59)*1)</f>
        <v>0</v>
      </c>
      <c r="F59" s="15">
        <f>IF($A59="",0,COUNTIF('Sprint W4'!$B$20:$B$24,$A59)*5+COUNTIF('Sprint W4'!$C$20:$C$24,$A59)*4+COUNTIF('Sprint W4'!$D$20:$D$24,$A59)*3+COUNTIF('Sprint W4'!$E$20:$E$24,$A59)*2+COUNTIF('Sprint W4'!$F$20:$F$24,$A59)*1)</f>
        <v>0</v>
      </c>
      <c r="G59" s="15">
        <f>IF($A59="",0,COUNTIF('Sprint W5'!$B$20:$B$24,$A59)*5+COUNTIF('Sprint W5'!$C$20:$C$24,$A59)*4+COUNTIF('Sprint W5'!$D$20:$D$24,$A59)*3+COUNTIF('Sprint W5'!$E$20:$E$24,$A59)*2+COUNTIF('Sprint W5'!$F$20:$F$24,$A59)*1)</f>
        <v>0</v>
      </c>
      <c r="H59" s="25" t="str">
        <f t="shared" si="2"/>
        <v/>
      </c>
      <c r="I59" s="26" t="str">
        <f t="shared" si="3"/>
        <v/>
      </c>
      <c r="AA59" t="str">
        <f>'Sprint W3'!E21</f>
        <v>Tim Hommersom</v>
      </c>
      <c r="AB59">
        <f>IF(AA59="",0,IF(COUNTIF($AA$1:AA59,AA59)=1,1,0))</f>
        <v>1</v>
      </c>
      <c r="AC59">
        <f>IF(AB59=1,COUNTIF($AB$1:AB59,1),"")</f>
        <v>11</v>
      </c>
    </row>
    <row r="60" spans="1:29" x14ac:dyDescent="0.25">
      <c r="A60" s="13" t="str">
        <f>IFERROR(INDEX($AA$1:$AA$125,MATCH(57,$AC$1:$AC$125,0)),"")</f>
        <v/>
      </c>
      <c r="B60" s="33"/>
      <c r="C60" s="15">
        <f>IF($A60="",0,COUNTIF('Sprint W1'!$B$20:$B$24,$A60)*5+COUNTIF('Sprint W1'!$C$20:$C$24,$A60)*4+COUNTIF('Sprint W1'!$D$20:$D$24,$A60)*3+COUNTIF('Sprint W1'!$E$20:$E$24,$A60)*2+COUNTIF('Sprint W1'!$F$20:$F$24,$A60)*1)</f>
        <v>0</v>
      </c>
      <c r="D60" s="15">
        <f>IF($A60="",0,COUNTIF('Sprint W2'!$B$20:$B$24,$A60)*5+COUNTIF('Sprint W2'!$C$20:$C$24,$A60)*4+COUNTIF('Sprint W2'!$D$20:$D$24,$A60)*3+COUNTIF('Sprint W2'!$E$20:$E$24,$A60)*2+COUNTIF('Sprint W2'!$F$20:$F$24,$A60)*1)</f>
        <v>0</v>
      </c>
      <c r="E60" s="15">
        <f>IF($A60="",0,COUNTIF('Sprint W3'!$B$20:$B$24,$A60)*5+COUNTIF('Sprint W3'!$C$20:$C$24,$A60)*4+COUNTIF('Sprint W3'!$D$20:$D$24,$A60)*3+COUNTIF('Sprint W3'!$E$20:$E$24,$A60)*2+COUNTIF('Sprint W3'!$F$20:$F$24,$A60)*1)</f>
        <v>0</v>
      </c>
      <c r="F60" s="15">
        <f>IF($A60="",0,COUNTIF('Sprint W4'!$B$20:$B$24,$A60)*5+COUNTIF('Sprint W4'!$C$20:$C$24,$A60)*4+COUNTIF('Sprint W4'!$D$20:$D$24,$A60)*3+COUNTIF('Sprint W4'!$E$20:$E$24,$A60)*2+COUNTIF('Sprint W4'!$F$20:$F$24,$A60)*1)</f>
        <v>0</v>
      </c>
      <c r="G60" s="15">
        <f>IF($A60="",0,COUNTIF('Sprint W5'!$B$20:$B$24,$A60)*5+COUNTIF('Sprint W5'!$C$20:$C$24,$A60)*4+COUNTIF('Sprint W5'!$D$20:$D$24,$A60)*3+COUNTIF('Sprint W5'!$E$20:$E$24,$A60)*2+COUNTIF('Sprint W5'!$F$20:$F$24,$A60)*1)</f>
        <v>0</v>
      </c>
      <c r="H60" s="25" t="str">
        <f t="shared" si="2"/>
        <v/>
      </c>
      <c r="I60" s="26" t="str">
        <f t="shared" si="3"/>
        <v/>
      </c>
      <c r="AA60" t="str">
        <f>'Sprint W3'!F21</f>
        <v>Thomas van Dijk</v>
      </c>
      <c r="AB60">
        <f>IF(AA60="",0,IF(COUNTIF($AA$1:AA60,AA60)=1,1,0))</f>
        <v>1</v>
      </c>
      <c r="AC60">
        <f>IF(AB60=1,COUNTIF($AB$1:AB60,1),"")</f>
        <v>12</v>
      </c>
    </row>
    <row r="61" spans="1:29" x14ac:dyDescent="0.25">
      <c r="A61" s="13" t="str">
        <f>IFERROR(INDEX($AA$1:$AA$125,MATCH(58,$AC$1:$AC$125,0)),"")</f>
        <v/>
      </c>
      <c r="B61" s="33"/>
      <c r="C61" s="15">
        <f>IF($A61="",0,COUNTIF('Sprint W1'!$B$20:$B$24,$A61)*5+COUNTIF('Sprint W1'!$C$20:$C$24,$A61)*4+COUNTIF('Sprint W1'!$D$20:$D$24,$A61)*3+COUNTIF('Sprint W1'!$E$20:$E$24,$A61)*2+COUNTIF('Sprint W1'!$F$20:$F$24,$A61)*1)</f>
        <v>0</v>
      </c>
      <c r="D61" s="15">
        <f>IF($A61="",0,COUNTIF('Sprint W2'!$B$20:$B$24,$A61)*5+COUNTIF('Sprint W2'!$C$20:$C$24,$A61)*4+COUNTIF('Sprint W2'!$D$20:$D$24,$A61)*3+COUNTIF('Sprint W2'!$E$20:$E$24,$A61)*2+COUNTIF('Sprint W2'!$F$20:$F$24,$A61)*1)</f>
        <v>0</v>
      </c>
      <c r="E61" s="15">
        <f>IF($A61="",0,COUNTIF('Sprint W3'!$B$20:$B$24,$A61)*5+COUNTIF('Sprint W3'!$C$20:$C$24,$A61)*4+COUNTIF('Sprint W3'!$D$20:$D$24,$A61)*3+COUNTIF('Sprint W3'!$E$20:$E$24,$A61)*2+COUNTIF('Sprint W3'!$F$20:$F$24,$A61)*1)</f>
        <v>0</v>
      </c>
      <c r="F61" s="15">
        <f>IF($A61="",0,COUNTIF('Sprint W4'!$B$20:$B$24,$A61)*5+COUNTIF('Sprint W4'!$C$20:$C$24,$A61)*4+COUNTIF('Sprint W4'!$D$20:$D$24,$A61)*3+COUNTIF('Sprint W4'!$E$20:$E$24,$A61)*2+COUNTIF('Sprint W4'!$F$20:$F$24,$A61)*1)</f>
        <v>0</v>
      </c>
      <c r="G61" s="15">
        <f>IF($A61="",0,COUNTIF('Sprint W5'!$B$20:$B$24,$A61)*5+COUNTIF('Sprint W5'!$C$20:$C$24,$A61)*4+COUNTIF('Sprint W5'!$D$20:$D$24,$A61)*3+COUNTIF('Sprint W5'!$E$20:$E$24,$A61)*2+COUNTIF('Sprint W5'!$F$20:$F$24,$A61)*1)</f>
        <v>0</v>
      </c>
      <c r="H61" s="25" t="str">
        <f t="shared" si="2"/>
        <v/>
      </c>
      <c r="I61" s="26" t="str">
        <f t="shared" si="3"/>
        <v/>
      </c>
      <c r="AA61" t="str">
        <f>'Sprint W3'!B22</f>
        <v>Finn Klaus</v>
      </c>
      <c r="AB61">
        <f>IF(AA61="",0,IF(COUNTIF($AA$1:AA61,AA61)=1,1,0))</f>
        <v>0</v>
      </c>
      <c r="AC61" t="str">
        <f>IF(AB61=1,COUNTIF($AB$1:AB61,1),"")</f>
        <v/>
      </c>
    </row>
    <row r="62" spans="1:29" x14ac:dyDescent="0.25">
      <c r="A62" s="13" t="str">
        <f>IFERROR(INDEX($AA$1:$AA$125,MATCH(59,$AC$1:$AC$125,0)),"")</f>
        <v/>
      </c>
      <c r="B62" s="33"/>
      <c r="C62" s="15">
        <f>IF($A62="",0,COUNTIF('Sprint W1'!$B$20:$B$24,$A62)*5+COUNTIF('Sprint W1'!$C$20:$C$24,$A62)*4+COUNTIF('Sprint W1'!$D$20:$D$24,$A62)*3+COUNTIF('Sprint W1'!$E$20:$E$24,$A62)*2+COUNTIF('Sprint W1'!$F$20:$F$24,$A62)*1)</f>
        <v>0</v>
      </c>
      <c r="D62" s="15">
        <f>IF($A62="",0,COUNTIF('Sprint W2'!$B$20:$B$24,$A62)*5+COUNTIF('Sprint W2'!$C$20:$C$24,$A62)*4+COUNTIF('Sprint W2'!$D$20:$D$24,$A62)*3+COUNTIF('Sprint W2'!$E$20:$E$24,$A62)*2+COUNTIF('Sprint W2'!$F$20:$F$24,$A62)*1)</f>
        <v>0</v>
      </c>
      <c r="E62" s="15">
        <f>IF($A62="",0,COUNTIF('Sprint W3'!$B$20:$B$24,$A62)*5+COUNTIF('Sprint W3'!$C$20:$C$24,$A62)*4+COUNTIF('Sprint W3'!$D$20:$D$24,$A62)*3+COUNTIF('Sprint W3'!$E$20:$E$24,$A62)*2+COUNTIF('Sprint W3'!$F$20:$F$24,$A62)*1)</f>
        <v>0</v>
      </c>
      <c r="F62" s="15">
        <f>IF($A62="",0,COUNTIF('Sprint W4'!$B$20:$B$24,$A62)*5+COUNTIF('Sprint W4'!$C$20:$C$24,$A62)*4+COUNTIF('Sprint W4'!$D$20:$D$24,$A62)*3+COUNTIF('Sprint W4'!$E$20:$E$24,$A62)*2+COUNTIF('Sprint W4'!$F$20:$F$24,$A62)*1)</f>
        <v>0</v>
      </c>
      <c r="G62" s="15">
        <f>IF($A62="",0,COUNTIF('Sprint W5'!$B$20:$B$24,$A62)*5+COUNTIF('Sprint W5'!$C$20:$C$24,$A62)*4+COUNTIF('Sprint W5'!$D$20:$D$24,$A62)*3+COUNTIF('Sprint W5'!$E$20:$E$24,$A62)*2+COUNTIF('Sprint W5'!$F$20:$F$24,$A62)*1)</f>
        <v>0</v>
      </c>
      <c r="H62" s="25" t="str">
        <f t="shared" si="2"/>
        <v/>
      </c>
      <c r="I62" s="26" t="str">
        <f t="shared" si="3"/>
        <v/>
      </c>
      <c r="AA62" t="str">
        <f>'Sprint W3'!C22</f>
        <v>Owen Chenault</v>
      </c>
      <c r="AB62">
        <f>IF(AA62="",0,IF(COUNTIF($AA$1:AA62,AA62)=1,1,0))</f>
        <v>0</v>
      </c>
      <c r="AC62" t="str">
        <f>IF(AB62=1,COUNTIF($AB$1:AB62,1),"")</f>
        <v/>
      </c>
    </row>
    <row r="63" spans="1:29" x14ac:dyDescent="0.25">
      <c r="A63" s="13" t="str">
        <f>IFERROR(INDEX($AA$1:$AA$125,MATCH(60,$AC$1:$AC$125,0)),"")</f>
        <v/>
      </c>
      <c r="B63" s="33"/>
      <c r="C63" s="15">
        <f>IF($A63="",0,COUNTIF('Sprint W1'!$B$20:$B$24,$A63)*5+COUNTIF('Sprint W1'!$C$20:$C$24,$A63)*4+COUNTIF('Sprint W1'!$D$20:$D$24,$A63)*3+COUNTIF('Sprint W1'!$E$20:$E$24,$A63)*2+COUNTIF('Sprint W1'!$F$20:$F$24,$A63)*1)</f>
        <v>0</v>
      </c>
      <c r="D63" s="15">
        <f>IF($A63="",0,COUNTIF('Sprint W2'!$B$20:$B$24,$A63)*5+COUNTIF('Sprint W2'!$C$20:$C$24,$A63)*4+COUNTIF('Sprint W2'!$D$20:$D$24,$A63)*3+COUNTIF('Sprint W2'!$E$20:$E$24,$A63)*2+COUNTIF('Sprint W2'!$F$20:$F$24,$A63)*1)</f>
        <v>0</v>
      </c>
      <c r="E63" s="15">
        <f>IF($A63="",0,COUNTIF('Sprint W3'!$B$20:$B$24,$A63)*5+COUNTIF('Sprint W3'!$C$20:$C$24,$A63)*4+COUNTIF('Sprint W3'!$D$20:$D$24,$A63)*3+COUNTIF('Sprint W3'!$E$20:$E$24,$A63)*2+COUNTIF('Sprint W3'!$F$20:$F$24,$A63)*1)</f>
        <v>0</v>
      </c>
      <c r="F63" s="15">
        <f>IF($A63="",0,COUNTIF('Sprint W4'!$B$20:$B$24,$A63)*5+COUNTIF('Sprint W4'!$C$20:$C$24,$A63)*4+COUNTIF('Sprint W4'!$D$20:$D$24,$A63)*3+COUNTIF('Sprint W4'!$E$20:$E$24,$A63)*2+COUNTIF('Sprint W4'!$F$20:$F$24,$A63)*1)</f>
        <v>0</v>
      </c>
      <c r="G63" s="15">
        <f>IF($A63="",0,COUNTIF('Sprint W5'!$B$20:$B$24,$A63)*5+COUNTIF('Sprint W5'!$C$20:$C$24,$A63)*4+COUNTIF('Sprint W5'!$D$20:$D$24,$A63)*3+COUNTIF('Sprint W5'!$E$20:$E$24,$A63)*2+COUNTIF('Sprint W5'!$F$20:$F$24,$A63)*1)</f>
        <v>0</v>
      </c>
      <c r="H63" s="25" t="str">
        <f t="shared" si="2"/>
        <v/>
      </c>
      <c r="I63" s="26" t="str">
        <f t="shared" si="3"/>
        <v/>
      </c>
      <c r="AA63" t="str">
        <f>'Sprint W3'!D22</f>
        <v>Tim Hommersom</v>
      </c>
      <c r="AB63">
        <f>IF(AA63="",0,IF(COUNTIF($AA$1:AA63,AA63)=1,1,0))</f>
        <v>0</v>
      </c>
      <c r="AC63" t="str">
        <f>IF(AB63=1,COUNTIF($AB$1:AB63,1),"")</f>
        <v/>
      </c>
    </row>
    <row r="64" spans="1:29" x14ac:dyDescent="0.25">
      <c r="A64" s="13" t="str">
        <f>IFERROR(INDEX($AA$1:$AA$125,MATCH(61,$AC$1:$AC$125,0)),"")</f>
        <v/>
      </c>
      <c r="B64" s="33"/>
      <c r="C64" s="15">
        <f>IF($A64="",0,COUNTIF('Sprint W1'!$B$20:$B$24,$A64)*5+COUNTIF('Sprint W1'!$C$20:$C$24,$A64)*4+COUNTIF('Sprint W1'!$D$20:$D$24,$A64)*3+COUNTIF('Sprint W1'!$E$20:$E$24,$A64)*2+COUNTIF('Sprint W1'!$F$20:$F$24,$A64)*1)</f>
        <v>0</v>
      </c>
      <c r="D64" s="15">
        <f>IF($A64="",0,COUNTIF('Sprint W2'!$B$20:$B$24,$A64)*5+COUNTIF('Sprint W2'!$C$20:$C$24,$A64)*4+COUNTIF('Sprint W2'!$D$20:$D$24,$A64)*3+COUNTIF('Sprint W2'!$E$20:$E$24,$A64)*2+COUNTIF('Sprint W2'!$F$20:$F$24,$A64)*1)</f>
        <v>0</v>
      </c>
      <c r="E64" s="15">
        <f>IF($A64="",0,COUNTIF('Sprint W3'!$B$20:$B$24,$A64)*5+COUNTIF('Sprint W3'!$C$20:$C$24,$A64)*4+COUNTIF('Sprint W3'!$D$20:$D$24,$A64)*3+COUNTIF('Sprint W3'!$E$20:$E$24,$A64)*2+COUNTIF('Sprint W3'!$F$20:$F$24,$A64)*1)</f>
        <v>0</v>
      </c>
      <c r="F64" s="15">
        <f>IF($A64="",0,COUNTIF('Sprint W4'!$B$20:$B$24,$A64)*5+COUNTIF('Sprint W4'!$C$20:$C$24,$A64)*4+COUNTIF('Sprint W4'!$D$20:$D$24,$A64)*3+COUNTIF('Sprint W4'!$E$20:$E$24,$A64)*2+COUNTIF('Sprint W4'!$F$20:$F$24,$A64)*1)</f>
        <v>0</v>
      </c>
      <c r="G64" s="15">
        <f>IF($A64="",0,COUNTIF('Sprint W5'!$B$20:$B$24,$A64)*5+COUNTIF('Sprint W5'!$C$20:$C$24,$A64)*4+COUNTIF('Sprint W5'!$D$20:$D$24,$A64)*3+COUNTIF('Sprint W5'!$E$20:$E$24,$A64)*2+COUNTIF('Sprint W5'!$F$20:$F$24,$A64)*1)</f>
        <v>0</v>
      </c>
      <c r="H64" s="25" t="str">
        <f t="shared" si="2"/>
        <v/>
      </c>
      <c r="I64" s="26" t="str">
        <f t="shared" si="3"/>
        <v/>
      </c>
      <c r="AA64" t="str">
        <f>'Sprint W3'!E22</f>
        <v>Levi van der Kaa</v>
      </c>
      <c r="AB64">
        <f>IF(AA64="",0,IF(COUNTIF($AA$1:AA64,AA64)=1,1,0))</f>
        <v>0</v>
      </c>
      <c r="AC64" t="str">
        <f>IF(AB64=1,COUNTIF($AB$1:AB64,1),"")</f>
        <v/>
      </c>
    </row>
    <row r="65" spans="1:29" x14ac:dyDescent="0.25">
      <c r="A65" s="13" t="str">
        <f>IFERROR(INDEX($AA$1:$AA$125,MATCH(62,$AC$1:$AC$125,0)),"")</f>
        <v/>
      </c>
      <c r="B65" s="33"/>
      <c r="C65" s="15">
        <f>IF($A65="",0,COUNTIF('Sprint W1'!$B$20:$B$24,$A65)*5+COUNTIF('Sprint W1'!$C$20:$C$24,$A65)*4+COUNTIF('Sprint W1'!$D$20:$D$24,$A65)*3+COUNTIF('Sprint W1'!$E$20:$E$24,$A65)*2+COUNTIF('Sprint W1'!$F$20:$F$24,$A65)*1)</f>
        <v>0</v>
      </c>
      <c r="D65" s="15">
        <f>IF($A65="",0,COUNTIF('Sprint W2'!$B$20:$B$24,$A65)*5+COUNTIF('Sprint W2'!$C$20:$C$24,$A65)*4+COUNTIF('Sprint W2'!$D$20:$D$24,$A65)*3+COUNTIF('Sprint W2'!$E$20:$E$24,$A65)*2+COUNTIF('Sprint W2'!$F$20:$F$24,$A65)*1)</f>
        <v>0</v>
      </c>
      <c r="E65" s="15">
        <f>IF($A65="",0,COUNTIF('Sprint W3'!$B$20:$B$24,$A65)*5+COUNTIF('Sprint W3'!$C$20:$C$24,$A65)*4+COUNTIF('Sprint W3'!$D$20:$D$24,$A65)*3+COUNTIF('Sprint W3'!$E$20:$E$24,$A65)*2+COUNTIF('Sprint W3'!$F$20:$F$24,$A65)*1)</f>
        <v>0</v>
      </c>
      <c r="F65" s="15">
        <f>IF($A65="",0,COUNTIF('Sprint W4'!$B$20:$B$24,$A65)*5+COUNTIF('Sprint W4'!$C$20:$C$24,$A65)*4+COUNTIF('Sprint W4'!$D$20:$D$24,$A65)*3+COUNTIF('Sprint W4'!$E$20:$E$24,$A65)*2+COUNTIF('Sprint W4'!$F$20:$F$24,$A65)*1)</f>
        <v>0</v>
      </c>
      <c r="G65" s="15">
        <f>IF($A65="",0,COUNTIF('Sprint W5'!$B$20:$B$24,$A65)*5+COUNTIF('Sprint W5'!$C$20:$C$24,$A65)*4+COUNTIF('Sprint W5'!$D$20:$D$24,$A65)*3+COUNTIF('Sprint W5'!$E$20:$E$24,$A65)*2+COUNTIF('Sprint W5'!$F$20:$F$24,$A65)*1)</f>
        <v>0</v>
      </c>
      <c r="H65" s="25" t="str">
        <f t="shared" si="2"/>
        <v/>
      </c>
      <c r="I65" s="26" t="str">
        <f t="shared" si="3"/>
        <v/>
      </c>
      <c r="AA65" t="str">
        <f>'Sprint W3'!F22</f>
        <v>Milan Docter</v>
      </c>
      <c r="AB65">
        <f>IF(AA65="",0,IF(COUNTIF($AA$1:AA65,AA65)=1,1,0))</f>
        <v>0</v>
      </c>
      <c r="AC65" t="str">
        <f>IF(AB65=1,COUNTIF($AB$1:AB65,1),"")</f>
        <v/>
      </c>
    </row>
    <row r="66" spans="1:29" x14ac:dyDescent="0.25">
      <c r="A66" s="13" t="str">
        <f>IFERROR(INDEX($AA$1:$AA$125,MATCH(63,$AC$1:$AC$125,0)),"")</f>
        <v/>
      </c>
      <c r="B66" s="33"/>
      <c r="C66" s="15">
        <f>IF($A66="",0,COUNTIF('Sprint W1'!$B$20:$B$24,$A66)*5+COUNTIF('Sprint W1'!$C$20:$C$24,$A66)*4+COUNTIF('Sprint W1'!$D$20:$D$24,$A66)*3+COUNTIF('Sprint W1'!$E$20:$E$24,$A66)*2+COUNTIF('Sprint W1'!$F$20:$F$24,$A66)*1)</f>
        <v>0</v>
      </c>
      <c r="D66" s="15">
        <f>IF($A66="",0,COUNTIF('Sprint W2'!$B$20:$B$24,$A66)*5+COUNTIF('Sprint W2'!$C$20:$C$24,$A66)*4+COUNTIF('Sprint W2'!$D$20:$D$24,$A66)*3+COUNTIF('Sprint W2'!$E$20:$E$24,$A66)*2+COUNTIF('Sprint W2'!$F$20:$F$24,$A66)*1)</f>
        <v>0</v>
      </c>
      <c r="E66" s="15">
        <f>IF($A66="",0,COUNTIF('Sprint W3'!$B$20:$B$24,$A66)*5+COUNTIF('Sprint W3'!$C$20:$C$24,$A66)*4+COUNTIF('Sprint W3'!$D$20:$D$24,$A66)*3+COUNTIF('Sprint W3'!$E$20:$E$24,$A66)*2+COUNTIF('Sprint W3'!$F$20:$F$24,$A66)*1)</f>
        <v>0</v>
      </c>
      <c r="F66" s="15">
        <f>IF($A66="",0,COUNTIF('Sprint W4'!$B$20:$B$24,$A66)*5+COUNTIF('Sprint W4'!$C$20:$C$24,$A66)*4+COUNTIF('Sprint W4'!$D$20:$D$24,$A66)*3+COUNTIF('Sprint W4'!$E$20:$E$24,$A66)*2+COUNTIF('Sprint W4'!$F$20:$F$24,$A66)*1)</f>
        <v>0</v>
      </c>
      <c r="G66" s="15">
        <f>IF($A66="",0,COUNTIF('Sprint W5'!$B$20:$B$24,$A66)*5+COUNTIF('Sprint W5'!$C$20:$C$24,$A66)*4+COUNTIF('Sprint W5'!$D$20:$D$24,$A66)*3+COUNTIF('Sprint W5'!$E$20:$E$24,$A66)*2+COUNTIF('Sprint W5'!$F$20:$F$24,$A66)*1)</f>
        <v>0</v>
      </c>
      <c r="H66" s="25" t="str">
        <f t="shared" si="2"/>
        <v/>
      </c>
      <c r="I66" s="26" t="str">
        <f t="shared" si="3"/>
        <v/>
      </c>
      <c r="AA66">
        <f>'Sprint W3'!B23</f>
        <v>0</v>
      </c>
      <c r="AB66">
        <f>IF(AA66="",0,IF(COUNTIF($AA$1:AA66,AA66)=1,1,0))</f>
        <v>0</v>
      </c>
      <c r="AC66" t="str">
        <f>IF(AB66=1,COUNTIF($AB$1:AB66,1),"")</f>
        <v/>
      </c>
    </row>
    <row r="67" spans="1:29" x14ac:dyDescent="0.25">
      <c r="A67" s="13" t="str">
        <f>IFERROR(INDEX($AA$1:$AA$125,MATCH(64,$AC$1:$AC$125,0)),"")</f>
        <v/>
      </c>
      <c r="B67" s="33"/>
      <c r="C67" s="15">
        <f>IF($A67="",0,COUNTIF('Sprint W1'!$B$20:$B$24,$A67)*5+COUNTIF('Sprint W1'!$C$20:$C$24,$A67)*4+COUNTIF('Sprint W1'!$D$20:$D$24,$A67)*3+COUNTIF('Sprint W1'!$E$20:$E$24,$A67)*2+COUNTIF('Sprint W1'!$F$20:$F$24,$A67)*1)</f>
        <v>0</v>
      </c>
      <c r="D67" s="15">
        <f>IF($A67="",0,COUNTIF('Sprint W2'!$B$20:$B$24,$A67)*5+COUNTIF('Sprint W2'!$C$20:$C$24,$A67)*4+COUNTIF('Sprint W2'!$D$20:$D$24,$A67)*3+COUNTIF('Sprint W2'!$E$20:$E$24,$A67)*2+COUNTIF('Sprint W2'!$F$20:$F$24,$A67)*1)</f>
        <v>0</v>
      </c>
      <c r="E67" s="15">
        <f>IF($A67="",0,COUNTIF('Sprint W3'!$B$20:$B$24,$A67)*5+COUNTIF('Sprint W3'!$C$20:$C$24,$A67)*4+COUNTIF('Sprint W3'!$D$20:$D$24,$A67)*3+COUNTIF('Sprint W3'!$E$20:$E$24,$A67)*2+COUNTIF('Sprint W3'!$F$20:$F$24,$A67)*1)</f>
        <v>0</v>
      </c>
      <c r="F67" s="15">
        <f>IF($A67="",0,COUNTIF('Sprint W4'!$B$20:$B$24,$A67)*5+COUNTIF('Sprint W4'!$C$20:$C$24,$A67)*4+COUNTIF('Sprint W4'!$D$20:$D$24,$A67)*3+COUNTIF('Sprint W4'!$E$20:$E$24,$A67)*2+COUNTIF('Sprint W4'!$F$20:$F$24,$A67)*1)</f>
        <v>0</v>
      </c>
      <c r="G67" s="15">
        <f>IF($A67="",0,COUNTIF('Sprint W5'!$B$20:$B$24,$A67)*5+COUNTIF('Sprint W5'!$C$20:$C$24,$A67)*4+COUNTIF('Sprint W5'!$D$20:$D$24,$A67)*3+COUNTIF('Sprint W5'!$E$20:$E$24,$A67)*2+COUNTIF('Sprint W5'!$F$20:$F$24,$A67)*1)</f>
        <v>0</v>
      </c>
      <c r="H67" s="25" t="str">
        <f t="shared" si="2"/>
        <v/>
      </c>
      <c r="I67" s="26" t="str">
        <f t="shared" si="3"/>
        <v/>
      </c>
      <c r="AA67">
        <f>'Sprint W3'!C23</f>
        <v>0</v>
      </c>
      <c r="AB67">
        <f>IF(AA67="",0,IF(COUNTIF($AA$1:AA67,AA67)=1,1,0))</f>
        <v>0</v>
      </c>
      <c r="AC67" t="str">
        <f>IF(AB67=1,COUNTIF($AB$1:AB67,1),"")</f>
        <v/>
      </c>
    </row>
    <row r="68" spans="1:29" x14ac:dyDescent="0.25">
      <c r="A68" s="13" t="str">
        <f>IFERROR(INDEX($AA$1:$AA$125,MATCH(65,$AC$1:$AC$125,0)),"")</f>
        <v/>
      </c>
      <c r="B68" s="33"/>
      <c r="C68" s="15">
        <f>IF($A68="",0,COUNTIF('Sprint W1'!$B$20:$B$24,$A68)*5+COUNTIF('Sprint W1'!$C$20:$C$24,$A68)*4+COUNTIF('Sprint W1'!$D$20:$D$24,$A68)*3+COUNTIF('Sprint W1'!$E$20:$E$24,$A68)*2+COUNTIF('Sprint W1'!$F$20:$F$24,$A68)*1)</f>
        <v>0</v>
      </c>
      <c r="D68" s="15">
        <f>IF($A68="",0,COUNTIF('Sprint W2'!$B$20:$B$24,$A68)*5+COUNTIF('Sprint W2'!$C$20:$C$24,$A68)*4+COUNTIF('Sprint W2'!$D$20:$D$24,$A68)*3+COUNTIF('Sprint W2'!$E$20:$E$24,$A68)*2+COUNTIF('Sprint W2'!$F$20:$F$24,$A68)*1)</f>
        <v>0</v>
      </c>
      <c r="E68" s="15">
        <f>IF($A68="",0,COUNTIF('Sprint W3'!$B$20:$B$24,$A68)*5+COUNTIF('Sprint W3'!$C$20:$C$24,$A68)*4+COUNTIF('Sprint W3'!$D$20:$D$24,$A68)*3+COUNTIF('Sprint W3'!$E$20:$E$24,$A68)*2+COUNTIF('Sprint W3'!$F$20:$F$24,$A68)*1)</f>
        <v>0</v>
      </c>
      <c r="F68" s="15">
        <f>IF($A68="",0,COUNTIF('Sprint W4'!$B$20:$B$24,$A68)*5+COUNTIF('Sprint W4'!$C$20:$C$24,$A68)*4+COUNTIF('Sprint W4'!$D$20:$D$24,$A68)*3+COUNTIF('Sprint W4'!$E$20:$E$24,$A68)*2+COUNTIF('Sprint W4'!$F$20:$F$24,$A68)*1)</f>
        <v>0</v>
      </c>
      <c r="G68" s="15">
        <f>IF($A68="",0,COUNTIF('Sprint W5'!$B$20:$B$24,$A68)*5+COUNTIF('Sprint W5'!$C$20:$C$24,$A68)*4+COUNTIF('Sprint W5'!$D$20:$D$24,$A68)*3+COUNTIF('Sprint W5'!$E$20:$E$24,$A68)*2+COUNTIF('Sprint W5'!$F$20:$F$24,$A68)*1)</f>
        <v>0</v>
      </c>
      <c r="H68" s="25" t="str">
        <f t="shared" ref="H68:H99" si="4">IF($A68="","",C68+D68+E68+F68+G68)</f>
        <v/>
      </c>
      <c r="I68" s="26" t="str">
        <f t="shared" ref="I68:I99" si="5">IF(OR($A68="",H68="",H68=0),"",RANK(H68,$H$4:$H$103,0))</f>
        <v/>
      </c>
      <c r="AA68">
        <f>'Sprint W3'!D23</f>
        <v>0</v>
      </c>
      <c r="AB68">
        <f>IF(AA68="",0,IF(COUNTIF($AA$1:AA68,AA68)=1,1,0))</f>
        <v>0</v>
      </c>
      <c r="AC68" t="str">
        <f>IF(AB68=1,COUNTIF($AB$1:AB68,1),"")</f>
        <v/>
      </c>
    </row>
    <row r="69" spans="1:29" x14ac:dyDescent="0.25">
      <c r="A69" s="13" t="str">
        <f>IFERROR(INDEX($AA$1:$AA$125,MATCH(66,$AC$1:$AC$125,0)),"")</f>
        <v/>
      </c>
      <c r="B69" s="33"/>
      <c r="C69" s="15">
        <f>IF($A69="",0,COUNTIF('Sprint W1'!$B$20:$B$24,$A69)*5+COUNTIF('Sprint W1'!$C$20:$C$24,$A69)*4+COUNTIF('Sprint W1'!$D$20:$D$24,$A69)*3+COUNTIF('Sprint W1'!$E$20:$E$24,$A69)*2+COUNTIF('Sprint W1'!$F$20:$F$24,$A69)*1)</f>
        <v>0</v>
      </c>
      <c r="D69" s="15">
        <f>IF($A69="",0,COUNTIF('Sprint W2'!$B$20:$B$24,$A69)*5+COUNTIF('Sprint W2'!$C$20:$C$24,$A69)*4+COUNTIF('Sprint W2'!$D$20:$D$24,$A69)*3+COUNTIF('Sprint W2'!$E$20:$E$24,$A69)*2+COUNTIF('Sprint W2'!$F$20:$F$24,$A69)*1)</f>
        <v>0</v>
      </c>
      <c r="E69" s="15">
        <f>IF($A69="",0,COUNTIF('Sprint W3'!$B$20:$B$24,$A69)*5+COUNTIF('Sprint W3'!$C$20:$C$24,$A69)*4+COUNTIF('Sprint W3'!$D$20:$D$24,$A69)*3+COUNTIF('Sprint W3'!$E$20:$E$24,$A69)*2+COUNTIF('Sprint W3'!$F$20:$F$24,$A69)*1)</f>
        <v>0</v>
      </c>
      <c r="F69" s="15">
        <f>IF($A69="",0,COUNTIF('Sprint W4'!$B$20:$B$24,$A69)*5+COUNTIF('Sprint W4'!$C$20:$C$24,$A69)*4+COUNTIF('Sprint W4'!$D$20:$D$24,$A69)*3+COUNTIF('Sprint W4'!$E$20:$E$24,$A69)*2+COUNTIF('Sprint W4'!$F$20:$F$24,$A69)*1)</f>
        <v>0</v>
      </c>
      <c r="G69" s="15">
        <f>IF($A69="",0,COUNTIF('Sprint W5'!$B$20:$B$24,$A69)*5+COUNTIF('Sprint W5'!$C$20:$C$24,$A69)*4+COUNTIF('Sprint W5'!$D$20:$D$24,$A69)*3+COUNTIF('Sprint W5'!$E$20:$E$24,$A69)*2+COUNTIF('Sprint W5'!$F$20:$F$24,$A69)*1)</f>
        <v>0</v>
      </c>
      <c r="H69" s="25" t="str">
        <f t="shared" si="4"/>
        <v/>
      </c>
      <c r="I69" s="26" t="str">
        <f t="shared" si="5"/>
        <v/>
      </c>
      <c r="AA69">
        <f>'Sprint W3'!E23</f>
        <v>0</v>
      </c>
      <c r="AB69">
        <f>IF(AA69="",0,IF(COUNTIF($AA$1:AA69,AA69)=1,1,0))</f>
        <v>0</v>
      </c>
      <c r="AC69" t="str">
        <f>IF(AB69=1,COUNTIF($AB$1:AB69,1),"")</f>
        <v/>
      </c>
    </row>
    <row r="70" spans="1:29" x14ac:dyDescent="0.25">
      <c r="A70" s="13" t="str">
        <f>IFERROR(INDEX($AA$1:$AA$125,MATCH(67,$AC$1:$AC$125,0)),"")</f>
        <v/>
      </c>
      <c r="B70" s="33"/>
      <c r="C70" s="15">
        <f>IF($A70="",0,COUNTIF('Sprint W1'!$B$20:$B$24,$A70)*5+COUNTIF('Sprint W1'!$C$20:$C$24,$A70)*4+COUNTIF('Sprint W1'!$D$20:$D$24,$A70)*3+COUNTIF('Sprint W1'!$E$20:$E$24,$A70)*2+COUNTIF('Sprint W1'!$F$20:$F$24,$A70)*1)</f>
        <v>0</v>
      </c>
      <c r="D70" s="15">
        <f>IF($A70="",0,COUNTIF('Sprint W2'!$B$20:$B$24,$A70)*5+COUNTIF('Sprint W2'!$C$20:$C$24,$A70)*4+COUNTIF('Sprint W2'!$D$20:$D$24,$A70)*3+COUNTIF('Sprint W2'!$E$20:$E$24,$A70)*2+COUNTIF('Sprint W2'!$F$20:$F$24,$A70)*1)</f>
        <v>0</v>
      </c>
      <c r="E70" s="15">
        <f>IF($A70="",0,COUNTIF('Sprint W3'!$B$20:$B$24,$A70)*5+COUNTIF('Sprint W3'!$C$20:$C$24,$A70)*4+COUNTIF('Sprint W3'!$D$20:$D$24,$A70)*3+COUNTIF('Sprint W3'!$E$20:$E$24,$A70)*2+COUNTIF('Sprint W3'!$F$20:$F$24,$A70)*1)</f>
        <v>0</v>
      </c>
      <c r="F70" s="15">
        <f>IF($A70="",0,COUNTIF('Sprint W4'!$B$20:$B$24,$A70)*5+COUNTIF('Sprint W4'!$C$20:$C$24,$A70)*4+COUNTIF('Sprint W4'!$D$20:$D$24,$A70)*3+COUNTIF('Sprint W4'!$E$20:$E$24,$A70)*2+COUNTIF('Sprint W4'!$F$20:$F$24,$A70)*1)</f>
        <v>0</v>
      </c>
      <c r="G70" s="15">
        <f>IF($A70="",0,COUNTIF('Sprint W5'!$B$20:$B$24,$A70)*5+COUNTIF('Sprint W5'!$C$20:$C$24,$A70)*4+COUNTIF('Sprint W5'!$D$20:$D$24,$A70)*3+COUNTIF('Sprint W5'!$E$20:$E$24,$A70)*2+COUNTIF('Sprint W5'!$F$20:$F$24,$A70)*1)</f>
        <v>0</v>
      </c>
      <c r="H70" s="25" t="str">
        <f t="shared" si="4"/>
        <v/>
      </c>
      <c r="I70" s="26" t="str">
        <f t="shared" si="5"/>
        <v/>
      </c>
      <c r="AA70">
        <f>'Sprint W3'!F23</f>
        <v>0</v>
      </c>
      <c r="AB70">
        <f>IF(AA70="",0,IF(COUNTIF($AA$1:AA70,AA70)=1,1,0))</f>
        <v>0</v>
      </c>
      <c r="AC70" t="str">
        <f>IF(AB70=1,COUNTIF($AB$1:AB70,1),"")</f>
        <v/>
      </c>
    </row>
    <row r="71" spans="1:29" x14ac:dyDescent="0.25">
      <c r="A71" s="13" t="str">
        <f>IFERROR(INDEX($AA$1:$AA$125,MATCH(68,$AC$1:$AC$125,0)),"")</f>
        <v/>
      </c>
      <c r="B71" s="33"/>
      <c r="C71" s="15">
        <f>IF($A71="",0,COUNTIF('Sprint W1'!$B$20:$B$24,$A71)*5+COUNTIF('Sprint W1'!$C$20:$C$24,$A71)*4+COUNTIF('Sprint W1'!$D$20:$D$24,$A71)*3+COUNTIF('Sprint W1'!$E$20:$E$24,$A71)*2+COUNTIF('Sprint W1'!$F$20:$F$24,$A71)*1)</f>
        <v>0</v>
      </c>
      <c r="D71" s="15">
        <f>IF($A71="",0,COUNTIF('Sprint W2'!$B$20:$B$24,$A71)*5+COUNTIF('Sprint W2'!$C$20:$C$24,$A71)*4+COUNTIF('Sprint W2'!$D$20:$D$24,$A71)*3+COUNTIF('Sprint W2'!$E$20:$E$24,$A71)*2+COUNTIF('Sprint W2'!$F$20:$F$24,$A71)*1)</f>
        <v>0</v>
      </c>
      <c r="E71" s="15">
        <f>IF($A71="",0,COUNTIF('Sprint W3'!$B$20:$B$24,$A71)*5+COUNTIF('Sprint W3'!$C$20:$C$24,$A71)*4+COUNTIF('Sprint W3'!$D$20:$D$24,$A71)*3+COUNTIF('Sprint W3'!$E$20:$E$24,$A71)*2+COUNTIF('Sprint W3'!$F$20:$F$24,$A71)*1)</f>
        <v>0</v>
      </c>
      <c r="F71" s="15">
        <f>IF($A71="",0,COUNTIF('Sprint W4'!$B$20:$B$24,$A71)*5+COUNTIF('Sprint W4'!$C$20:$C$24,$A71)*4+COUNTIF('Sprint W4'!$D$20:$D$24,$A71)*3+COUNTIF('Sprint W4'!$E$20:$E$24,$A71)*2+COUNTIF('Sprint W4'!$F$20:$F$24,$A71)*1)</f>
        <v>0</v>
      </c>
      <c r="G71" s="15">
        <f>IF($A71="",0,COUNTIF('Sprint W5'!$B$20:$B$24,$A71)*5+COUNTIF('Sprint W5'!$C$20:$C$24,$A71)*4+COUNTIF('Sprint W5'!$D$20:$D$24,$A71)*3+COUNTIF('Sprint W5'!$E$20:$E$24,$A71)*2+COUNTIF('Sprint W5'!$F$20:$F$24,$A71)*1)</f>
        <v>0</v>
      </c>
      <c r="H71" s="25" t="str">
        <f t="shared" si="4"/>
        <v/>
      </c>
      <c r="I71" s="26" t="str">
        <f t="shared" si="5"/>
        <v/>
      </c>
      <c r="AA71">
        <f>'Sprint W3'!B24</f>
        <v>0</v>
      </c>
      <c r="AB71">
        <f>IF(AA71="",0,IF(COUNTIF($AA$1:AA71,AA71)=1,1,0))</f>
        <v>0</v>
      </c>
      <c r="AC71" t="str">
        <f>IF(AB71=1,COUNTIF($AB$1:AB71,1),"")</f>
        <v/>
      </c>
    </row>
    <row r="72" spans="1:29" x14ac:dyDescent="0.25">
      <c r="A72" s="13" t="str">
        <f>IFERROR(INDEX($AA$1:$AA$125,MATCH(69,$AC$1:$AC$125,0)),"")</f>
        <v/>
      </c>
      <c r="B72" s="33"/>
      <c r="C72" s="15">
        <f>IF($A72="",0,COUNTIF('Sprint W1'!$B$20:$B$24,$A72)*5+COUNTIF('Sprint W1'!$C$20:$C$24,$A72)*4+COUNTIF('Sprint W1'!$D$20:$D$24,$A72)*3+COUNTIF('Sprint W1'!$E$20:$E$24,$A72)*2+COUNTIF('Sprint W1'!$F$20:$F$24,$A72)*1)</f>
        <v>0</v>
      </c>
      <c r="D72" s="15">
        <f>IF($A72="",0,COUNTIF('Sprint W2'!$B$20:$B$24,$A72)*5+COUNTIF('Sprint W2'!$C$20:$C$24,$A72)*4+COUNTIF('Sprint W2'!$D$20:$D$24,$A72)*3+COUNTIF('Sprint W2'!$E$20:$E$24,$A72)*2+COUNTIF('Sprint W2'!$F$20:$F$24,$A72)*1)</f>
        <v>0</v>
      </c>
      <c r="E72" s="15">
        <f>IF($A72="",0,COUNTIF('Sprint W3'!$B$20:$B$24,$A72)*5+COUNTIF('Sprint W3'!$C$20:$C$24,$A72)*4+COUNTIF('Sprint W3'!$D$20:$D$24,$A72)*3+COUNTIF('Sprint W3'!$E$20:$E$24,$A72)*2+COUNTIF('Sprint W3'!$F$20:$F$24,$A72)*1)</f>
        <v>0</v>
      </c>
      <c r="F72" s="15">
        <f>IF($A72="",0,COUNTIF('Sprint W4'!$B$20:$B$24,$A72)*5+COUNTIF('Sprint W4'!$C$20:$C$24,$A72)*4+COUNTIF('Sprint W4'!$D$20:$D$24,$A72)*3+COUNTIF('Sprint W4'!$E$20:$E$24,$A72)*2+COUNTIF('Sprint W4'!$F$20:$F$24,$A72)*1)</f>
        <v>0</v>
      </c>
      <c r="G72" s="15">
        <f>IF($A72="",0,COUNTIF('Sprint W5'!$B$20:$B$24,$A72)*5+COUNTIF('Sprint W5'!$C$20:$C$24,$A72)*4+COUNTIF('Sprint W5'!$D$20:$D$24,$A72)*3+COUNTIF('Sprint W5'!$E$20:$E$24,$A72)*2+COUNTIF('Sprint W5'!$F$20:$F$24,$A72)*1)</f>
        <v>0</v>
      </c>
      <c r="H72" s="25" t="str">
        <f t="shared" si="4"/>
        <v/>
      </c>
      <c r="I72" s="26" t="str">
        <f t="shared" si="5"/>
        <v/>
      </c>
      <c r="AA72">
        <f>'Sprint W3'!C24</f>
        <v>0</v>
      </c>
      <c r="AB72">
        <f>IF(AA72="",0,IF(COUNTIF($AA$1:AA72,AA72)=1,1,0))</f>
        <v>0</v>
      </c>
      <c r="AC72" t="str">
        <f>IF(AB72=1,COUNTIF($AB$1:AB72,1),"")</f>
        <v/>
      </c>
    </row>
    <row r="73" spans="1:29" x14ac:dyDescent="0.25">
      <c r="A73" s="13" t="str">
        <f>IFERROR(INDEX($AA$1:$AA$125,MATCH(70,$AC$1:$AC$125,0)),"")</f>
        <v/>
      </c>
      <c r="B73" s="33"/>
      <c r="C73" s="15">
        <f>IF($A73="",0,COUNTIF('Sprint W1'!$B$20:$B$24,$A73)*5+COUNTIF('Sprint W1'!$C$20:$C$24,$A73)*4+COUNTIF('Sprint W1'!$D$20:$D$24,$A73)*3+COUNTIF('Sprint W1'!$E$20:$E$24,$A73)*2+COUNTIF('Sprint W1'!$F$20:$F$24,$A73)*1)</f>
        <v>0</v>
      </c>
      <c r="D73" s="15">
        <f>IF($A73="",0,COUNTIF('Sprint W2'!$B$20:$B$24,$A73)*5+COUNTIF('Sprint W2'!$C$20:$C$24,$A73)*4+COUNTIF('Sprint W2'!$D$20:$D$24,$A73)*3+COUNTIF('Sprint W2'!$E$20:$E$24,$A73)*2+COUNTIF('Sprint W2'!$F$20:$F$24,$A73)*1)</f>
        <v>0</v>
      </c>
      <c r="E73" s="15">
        <f>IF($A73="",0,COUNTIF('Sprint W3'!$B$20:$B$24,$A73)*5+COUNTIF('Sprint W3'!$C$20:$C$24,$A73)*4+COUNTIF('Sprint W3'!$D$20:$D$24,$A73)*3+COUNTIF('Sprint W3'!$E$20:$E$24,$A73)*2+COUNTIF('Sprint W3'!$F$20:$F$24,$A73)*1)</f>
        <v>0</v>
      </c>
      <c r="F73" s="15">
        <f>IF($A73="",0,COUNTIF('Sprint W4'!$B$20:$B$24,$A73)*5+COUNTIF('Sprint W4'!$C$20:$C$24,$A73)*4+COUNTIF('Sprint W4'!$D$20:$D$24,$A73)*3+COUNTIF('Sprint W4'!$E$20:$E$24,$A73)*2+COUNTIF('Sprint W4'!$F$20:$F$24,$A73)*1)</f>
        <v>0</v>
      </c>
      <c r="G73" s="15">
        <f>IF($A73="",0,COUNTIF('Sprint W5'!$B$20:$B$24,$A73)*5+COUNTIF('Sprint W5'!$C$20:$C$24,$A73)*4+COUNTIF('Sprint W5'!$D$20:$D$24,$A73)*3+COUNTIF('Sprint W5'!$E$20:$E$24,$A73)*2+COUNTIF('Sprint W5'!$F$20:$F$24,$A73)*1)</f>
        <v>0</v>
      </c>
      <c r="H73" s="25" t="str">
        <f t="shared" si="4"/>
        <v/>
      </c>
      <c r="I73" s="26" t="str">
        <f t="shared" si="5"/>
        <v/>
      </c>
      <c r="AA73">
        <f>'Sprint W3'!D24</f>
        <v>0</v>
      </c>
      <c r="AB73">
        <f>IF(AA73="",0,IF(COUNTIF($AA$1:AA73,AA73)=1,1,0))</f>
        <v>0</v>
      </c>
      <c r="AC73" t="str">
        <f>IF(AB73=1,COUNTIF($AB$1:AB73,1),"")</f>
        <v/>
      </c>
    </row>
    <row r="74" spans="1:29" x14ac:dyDescent="0.25">
      <c r="A74" s="13" t="str">
        <f>IFERROR(INDEX($AA$1:$AA$125,MATCH(71,$AC$1:$AC$125,0)),"")</f>
        <v/>
      </c>
      <c r="B74" s="33"/>
      <c r="C74" s="15">
        <f>IF($A74="",0,COUNTIF('Sprint W1'!$B$20:$B$24,$A74)*5+COUNTIF('Sprint W1'!$C$20:$C$24,$A74)*4+COUNTIF('Sprint W1'!$D$20:$D$24,$A74)*3+COUNTIF('Sprint W1'!$E$20:$E$24,$A74)*2+COUNTIF('Sprint W1'!$F$20:$F$24,$A74)*1)</f>
        <v>0</v>
      </c>
      <c r="D74" s="15">
        <f>IF($A74="",0,COUNTIF('Sprint W2'!$B$20:$B$24,$A74)*5+COUNTIF('Sprint W2'!$C$20:$C$24,$A74)*4+COUNTIF('Sprint W2'!$D$20:$D$24,$A74)*3+COUNTIF('Sprint W2'!$E$20:$E$24,$A74)*2+COUNTIF('Sprint W2'!$F$20:$F$24,$A74)*1)</f>
        <v>0</v>
      </c>
      <c r="E74" s="15">
        <f>IF($A74="",0,COUNTIF('Sprint W3'!$B$20:$B$24,$A74)*5+COUNTIF('Sprint W3'!$C$20:$C$24,$A74)*4+COUNTIF('Sprint W3'!$D$20:$D$24,$A74)*3+COUNTIF('Sprint W3'!$E$20:$E$24,$A74)*2+COUNTIF('Sprint W3'!$F$20:$F$24,$A74)*1)</f>
        <v>0</v>
      </c>
      <c r="F74" s="15">
        <f>IF($A74="",0,COUNTIF('Sprint W4'!$B$20:$B$24,$A74)*5+COUNTIF('Sprint W4'!$C$20:$C$24,$A74)*4+COUNTIF('Sprint W4'!$D$20:$D$24,$A74)*3+COUNTIF('Sprint W4'!$E$20:$E$24,$A74)*2+COUNTIF('Sprint W4'!$F$20:$F$24,$A74)*1)</f>
        <v>0</v>
      </c>
      <c r="G74" s="15">
        <f>IF($A74="",0,COUNTIF('Sprint W5'!$B$20:$B$24,$A74)*5+COUNTIF('Sprint W5'!$C$20:$C$24,$A74)*4+COUNTIF('Sprint W5'!$D$20:$D$24,$A74)*3+COUNTIF('Sprint W5'!$E$20:$E$24,$A74)*2+COUNTIF('Sprint W5'!$F$20:$F$24,$A74)*1)</f>
        <v>0</v>
      </c>
      <c r="H74" s="25" t="str">
        <f t="shared" si="4"/>
        <v/>
      </c>
      <c r="I74" s="26" t="str">
        <f t="shared" si="5"/>
        <v/>
      </c>
      <c r="AA74">
        <f>'Sprint W3'!E24</f>
        <v>0</v>
      </c>
      <c r="AB74">
        <f>IF(AA74="",0,IF(COUNTIF($AA$1:AA74,AA74)=1,1,0))</f>
        <v>0</v>
      </c>
      <c r="AC74" t="str">
        <f>IF(AB74=1,COUNTIF($AB$1:AB74,1),"")</f>
        <v/>
      </c>
    </row>
    <row r="75" spans="1:29" x14ac:dyDescent="0.25">
      <c r="A75" s="13" t="str">
        <f>IFERROR(INDEX($AA$1:$AA$125,MATCH(72,$AC$1:$AC$125,0)),"")</f>
        <v/>
      </c>
      <c r="B75" s="33"/>
      <c r="C75" s="15">
        <f>IF($A75="",0,COUNTIF('Sprint W1'!$B$20:$B$24,$A75)*5+COUNTIF('Sprint W1'!$C$20:$C$24,$A75)*4+COUNTIF('Sprint W1'!$D$20:$D$24,$A75)*3+COUNTIF('Sprint W1'!$E$20:$E$24,$A75)*2+COUNTIF('Sprint W1'!$F$20:$F$24,$A75)*1)</f>
        <v>0</v>
      </c>
      <c r="D75" s="15">
        <f>IF($A75="",0,COUNTIF('Sprint W2'!$B$20:$B$24,$A75)*5+COUNTIF('Sprint W2'!$C$20:$C$24,$A75)*4+COUNTIF('Sprint W2'!$D$20:$D$24,$A75)*3+COUNTIF('Sprint W2'!$E$20:$E$24,$A75)*2+COUNTIF('Sprint W2'!$F$20:$F$24,$A75)*1)</f>
        <v>0</v>
      </c>
      <c r="E75" s="15">
        <f>IF($A75="",0,COUNTIF('Sprint W3'!$B$20:$B$24,$A75)*5+COUNTIF('Sprint W3'!$C$20:$C$24,$A75)*4+COUNTIF('Sprint W3'!$D$20:$D$24,$A75)*3+COUNTIF('Sprint W3'!$E$20:$E$24,$A75)*2+COUNTIF('Sprint W3'!$F$20:$F$24,$A75)*1)</f>
        <v>0</v>
      </c>
      <c r="F75" s="15">
        <f>IF($A75="",0,COUNTIF('Sprint W4'!$B$20:$B$24,$A75)*5+COUNTIF('Sprint W4'!$C$20:$C$24,$A75)*4+COUNTIF('Sprint W4'!$D$20:$D$24,$A75)*3+COUNTIF('Sprint W4'!$E$20:$E$24,$A75)*2+COUNTIF('Sprint W4'!$F$20:$F$24,$A75)*1)</f>
        <v>0</v>
      </c>
      <c r="G75" s="15">
        <f>IF($A75="",0,COUNTIF('Sprint W5'!$B$20:$B$24,$A75)*5+COUNTIF('Sprint W5'!$C$20:$C$24,$A75)*4+COUNTIF('Sprint W5'!$D$20:$D$24,$A75)*3+COUNTIF('Sprint W5'!$E$20:$E$24,$A75)*2+COUNTIF('Sprint W5'!$F$20:$F$24,$A75)*1)</f>
        <v>0</v>
      </c>
      <c r="H75" s="25" t="str">
        <f t="shared" si="4"/>
        <v/>
      </c>
      <c r="I75" s="26" t="str">
        <f t="shared" si="5"/>
        <v/>
      </c>
      <c r="AA75">
        <f>'Sprint W3'!F24</f>
        <v>0</v>
      </c>
      <c r="AB75">
        <f>IF(AA75="",0,IF(COUNTIF($AA$1:AA75,AA75)=1,1,0))</f>
        <v>0</v>
      </c>
      <c r="AC75" t="str">
        <f>IF(AB75=1,COUNTIF($AB$1:AB75,1),"")</f>
        <v/>
      </c>
    </row>
    <row r="76" spans="1:29" x14ac:dyDescent="0.25">
      <c r="A76" s="13" t="str">
        <f>IFERROR(INDEX($AA$1:$AA$125,MATCH(73,$AC$1:$AC$125,0)),"")</f>
        <v/>
      </c>
      <c r="B76" s="33"/>
      <c r="C76" s="15">
        <f>IF($A76="",0,COUNTIF('Sprint W1'!$B$20:$B$24,$A76)*5+COUNTIF('Sprint W1'!$C$20:$C$24,$A76)*4+COUNTIF('Sprint W1'!$D$20:$D$24,$A76)*3+COUNTIF('Sprint W1'!$E$20:$E$24,$A76)*2+COUNTIF('Sprint W1'!$F$20:$F$24,$A76)*1)</f>
        <v>0</v>
      </c>
      <c r="D76" s="15">
        <f>IF($A76="",0,COUNTIF('Sprint W2'!$B$20:$B$24,$A76)*5+COUNTIF('Sprint W2'!$C$20:$C$24,$A76)*4+COUNTIF('Sprint W2'!$D$20:$D$24,$A76)*3+COUNTIF('Sprint W2'!$E$20:$E$24,$A76)*2+COUNTIF('Sprint W2'!$F$20:$F$24,$A76)*1)</f>
        <v>0</v>
      </c>
      <c r="E76" s="15">
        <f>IF($A76="",0,COUNTIF('Sprint W3'!$B$20:$B$24,$A76)*5+COUNTIF('Sprint W3'!$C$20:$C$24,$A76)*4+COUNTIF('Sprint W3'!$D$20:$D$24,$A76)*3+COUNTIF('Sprint W3'!$E$20:$E$24,$A76)*2+COUNTIF('Sprint W3'!$F$20:$F$24,$A76)*1)</f>
        <v>0</v>
      </c>
      <c r="F76" s="15">
        <f>IF($A76="",0,COUNTIF('Sprint W4'!$B$20:$B$24,$A76)*5+COUNTIF('Sprint W4'!$C$20:$C$24,$A76)*4+COUNTIF('Sprint W4'!$D$20:$D$24,$A76)*3+COUNTIF('Sprint W4'!$E$20:$E$24,$A76)*2+COUNTIF('Sprint W4'!$F$20:$F$24,$A76)*1)</f>
        <v>0</v>
      </c>
      <c r="G76" s="15">
        <f>IF($A76="",0,COUNTIF('Sprint W5'!$B$20:$B$24,$A76)*5+COUNTIF('Sprint W5'!$C$20:$C$24,$A76)*4+COUNTIF('Sprint W5'!$D$20:$D$24,$A76)*3+COUNTIF('Sprint W5'!$E$20:$E$24,$A76)*2+COUNTIF('Sprint W5'!$F$20:$F$24,$A76)*1)</f>
        <v>0</v>
      </c>
      <c r="H76" s="25" t="str">
        <f t="shared" si="4"/>
        <v/>
      </c>
      <c r="I76" s="26" t="str">
        <f t="shared" si="5"/>
        <v/>
      </c>
      <c r="AA76">
        <f>'Sprint W4'!B20</f>
        <v>0</v>
      </c>
      <c r="AB76">
        <f>IF(AA76="",0,IF(COUNTIF($AA$1:AA76,AA76)=1,1,0))</f>
        <v>0</v>
      </c>
      <c r="AC76" t="str">
        <f>IF(AB76=1,COUNTIF($AB$1:AB76,1),"")</f>
        <v/>
      </c>
    </row>
    <row r="77" spans="1:29" x14ac:dyDescent="0.25">
      <c r="A77" s="13" t="str">
        <f>IFERROR(INDEX($AA$1:$AA$125,MATCH(74,$AC$1:$AC$125,0)),"")</f>
        <v/>
      </c>
      <c r="B77" s="33"/>
      <c r="C77" s="15">
        <f>IF($A77="",0,COUNTIF('Sprint W1'!$B$20:$B$24,$A77)*5+COUNTIF('Sprint W1'!$C$20:$C$24,$A77)*4+COUNTIF('Sprint W1'!$D$20:$D$24,$A77)*3+COUNTIF('Sprint W1'!$E$20:$E$24,$A77)*2+COUNTIF('Sprint W1'!$F$20:$F$24,$A77)*1)</f>
        <v>0</v>
      </c>
      <c r="D77" s="15">
        <f>IF($A77="",0,COUNTIF('Sprint W2'!$B$20:$B$24,$A77)*5+COUNTIF('Sprint W2'!$C$20:$C$24,$A77)*4+COUNTIF('Sprint W2'!$D$20:$D$24,$A77)*3+COUNTIF('Sprint W2'!$E$20:$E$24,$A77)*2+COUNTIF('Sprint W2'!$F$20:$F$24,$A77)*1)</f>
        <v>0</v>
      </c>
      <c r="E77" s="15">
        <f>IF($A77="",0,COUNTIF('Sprint W3'!$B$20:$B$24,$A77)*5+COUNTIF('Sprint W3'!$C$20:$C$24,$A77)*4+COUNTIF('Sprint W3'!$D$20:$D$24,$A77)*3+COUNTIF('Sprint W3'!$E$20:$E$24,$A77)*2+COUNTIF('Sprint W3'!$F$20:$F$24,$A77)*1)</f>
        <v>0</v>
      </c>
      <c r="F77" s="15">
        <f>IF($A77="",0,COUNTIF('Sprint W4'!$B$20:$B$24,$A77)*5+COUNTIF('Sprint W4'!$C$20:$C$24,$A77)*4+COUNTIF('Sprint W4'!$D$20:$D$24,$A77)*3+COUNTIF('Sprint W4'!$E$20:$E$24,$A77)*2+COUNTIF('Sprint W4'!$F$20:$F$24,$A77)*1)</f>
        <v>0</v>
      </c>
      <c r="G77" s="15">
        <f>IF($A77="",0,COUNTIF('Sprint W5'!$B$20:$B$24,$A77)*5+COUNTIF('Sprint W5'!$C$20:$C$24,$A77)*4+COUNTIF('Sprint W5'!$D$20:$D$24,$A77)*3+COUNTIF('Sprint W5'!$E$20:$E$24,$A77)*2+COUNTIF('Sprint W5'!$F$20:$F$24,$A77)*1)</f>
        <v>0</v>
      </c>
      <c r="H77" s="25" t="str">
        <f t="shared" si="4"/>
        <v/>
      </c>
      <c r="I77" s="26" t="str">
        <f t="shared" si="5"/>
        <v/>
      </c>
      <c r="AA77">
        <f>'Sprint W4'!C20</f>
        <v>0</v>
      </c>
      <c r="AB77">
        <f>IF(AA77="",0,IF(COUNTIF($AA$1:AA77,AA77)=1,1,0))</f>
        <v>0</v>
      </c>
      <c r="AC77" t="str">
        <f>IF(AB77=1,COUNTIF($AB$1:AB77,1),"")</f>
        <v/>
      </c>
    </row>
    <row r="78" spans="1:29" x14ac:dyDescent="0.25">
      <c r="A78" s="13" t="str">
        <f>IFERROR(INDEX($AA$1:$AA$125,MATCH(75,$AC$1:$AC$125,0)),"")</f>
        <v/>
      </c>
      <c r="B78" s="33"/>
      <c r="C78" s="15">
        <f>IF($A78="",0,COUNTIF('Sprint W1'!$B$20:$B$24,$A78)*5+COUNTIF('Sprint W1'!$C$20:$C$24,$A78)*4+COUNTIF('Sprint W1'!$D$20:$D$24,$A78)*3+COUNTIF('Sprint W1'!$E$20:$E$24,$A78)*2+COUNTIF('Sprint W1'!$F$20:$F$24,$A78)*1)</f>
        <v>0</v>
      </c>
      <c r="D78" s="15">
        <f>IF($A78="",0,COUNTIF('Sprint W2'!$B$20:$B$24,$A78)*5+COUNTIF('Sprint W2'!$C$20:$C$24,$A78)*4+COUNTIF('Sprint W2'!$D$20:$D$24,$A78)*3+COUNTIF('Sprint W2'!$E$20:$E$24,$A78)*2+COUNTIF('Sprint W2'!$F$20:$F$24,$A78)*1)</f>
        <v>0</v>
      </c>
      <c r="E78" s="15">
        <f>IF($A78="",0,COUNTIF('Sprint W3'!$B$20:$B$24,$A78)*5+COUNTIF('Sprint W3'!$C$20:$C$24,$A78)*4+COUNTIF('Sprint W3'!$D$20:$D$24,$A78)*3+COUNTIF('Sprint W3'!$E$20:$E$24,$A78)*2+COUNTIF('Sprint W3'!$F$20:$F$24,$A78)*1)</f>
        <v>0</v>
      </c>
      <c r="F78" s="15">
        <f>IF($A78="",0,COUNTIF('Sprint W4'!$B$20:$B$24,$A78)*5+COUNTIF('Sprint W4'!$C$20:$C$24,$A78)*4+COUNTIF('Sprint W4'!$D$20:$D$24,$A78)*3+COUNTIF('Sprint W4'!$E$20:$E$24,$A78)*2+COUNTIF('Sprint W4'!$F$20:$F$24,$A78)*1)</f>
        <v>0</v>
      </c>
      <c r="G78" s="15">
        <f>IF($A78="",0,COUNTIF('Sprint W5'!$B$20:$B$24,$A78)*5+COUNTIF('Sprint W5'!$C$20:$C$24,$A78)*4+COUNTIF('Sprint W5'!$D$20:$D$24,$A78)*3+COUNTIF('Sprint W5'!$E$20:$E$24,$A78)*2+COUNTIF('Sprint W5'!$F$20:$F$24,$A78)*1)</f>
        <v>0</v>
      </c>
      <c r="H78" s="25" t="str">
        <f t="shared" si="4"/>
        <v/>
      </c>
      <c r="I78" s="26" t="str">
        <f t="shared" si="5"/>
        <v/>
      </c>
      <c r="AA78">
        <f>'Sprint W4'!D20</f>
        <v>0</v>
      </c>
      <c r="AB78">
        <f>IF(AA78="",0,IF(COUNTIF($AA$1:AA78,AA78)=1,1,0))</f>
        <v>0</v>
      </c>
      <c r="AC78" t="str">
        <f>IF(AB78=1,COUNTIF($AB$1:AB78,1),"")</f>
        <v/>
      </c>
    </row>
    <row r="79" spans="1:29" x14ac:dyDescent="0.25">
      <c r="A79" s="13" t="str">
        <f>IFERROR(INDEX($AA$1:$AA$125,MATCH(76,$AC$1:$AC$125,0)),"")</f>
        <v/>
      </c>
      <c r="B79" s="33"/>
      <c r="C79" s="15">
        <f>IF($A79="",0,COUNTIF('Sprint W1'!$B$20:$B$24,$A79)*5+COUNTIF('Sprint W1'!$C$20:$C$24,$A79)*4+COUNTIF('Sprint W1'!$D$20:$D$24,$A79)*3+COUNTIF('Sprint W1'!$E$20:$E$24,$A79)*2+COUNTIF('Sprint W1'!$F$20:$F$24,$A79)*1)</f>
        <v>0</v>
      </c>
      <c r="D79" s="15">
        <f>IF($A79="",0,COUNTIF('Sprint W2'!$B$20:$B$24,$A79)*5+COUNTIF('Sprint W2'!$C$20:$C$24,$A79)*4+COUNTIF('Sprint W2'!$D$20:$D$24,$A79)*3+COUNTIF('Sprint W2'!$E$20:$E$24,$A79)*2+COUNTIF('Sprint W2'!$F$20:$F$24,$A79)*1)</f>
        <v>0</v>
      </c>
      <c r="E79" s="15">
        <f>IF($A79="",0,COUNTIF('Sprint W3'!$B$20:$B$24,$A79)*5+COUNTIF('Sprint W3'!$C$20:$C$24,$A79)*4+COUNTIF('Sprint W3'!$D$20:$D$24,$A79)*3+COUNTIF('Sprint W3'!$E$20:$E$24,$A79)*2+COUNTIF('Sprint W3'!$F$20:$F$24,$A79)*1)</f>
        <v>0</v>
      </c>
      <c r="F79" s="15">
        <f>IF($A79="",0,COUNTIF('Sprint W4'!$B$20:$B$24,$A79)*5+COUNTIF('Sprint W4'!$C$20:$C$24,$A79)*4+COUNTIF('Sprint W4'!$D$20:$D$24,$A79)*3+COUNTIF('Sprint W4'!$E$20:$E$24,$A79)*2+COUNTIF('Sprint W4'!$F$20:$F$24,$A79)*1)</f>
        <v>0</v>
      </c>
      <c r="G79" s="15">
        <f>IF($A79="",0,COUNTIF('Sprint W5'!$B$20:$B$24,$A79)*5+COUNTIF('Sprint W5'!$C$20:$C$24,$A79)*4+COUNTIF('Sprint W5'!$D$20:$D$24,$A79)*3+COUNTIF('Sprint W5'!$E$20:$E$24,$A79)*2+COUNTIF('Sprint W5'!$F$20:$F$24,$A79)*1)</f>
        <v>0</v>
      </c>
      <c r="H79" s="25" t="str">
        <f t="shared" si="4"/>
        <v/>
      </c>
      <c r="I79" s="26" t="str">
        <f t="shared" si="5"/>
        <v/>
      </c>
      <c r="AA79">
        <f>'Sprint W4'!E20</f>
        <v>0</v>
      </c>
      <c r="AB79">
        <f>IF(AA79="",0,IF(COUNTIF($AA$1:AA79,AA79)=1,1,0))</f>
        <v>0</v>
      </c>
      <c r="AC79" t="str">
        <f>IF(AB79=1,COUNTIF($AB$1:AB79,1),"")</f>
        <v/>
      </c>
    </row>
    <row r="80" spans="1:29" x14ac:dyDescent="0.25">
      <c r="A80" s="13" t="str">
        <f>IFERROR(INDEX($AA$1:$AA$125,MATCH(77,$AC$1:$AC$125,0)),"")</f>
        <v/>
      </c>
      <c r="B80" s="33"/>
      <c r="C80" s="15">
        <f>IF($A80="",0,COUNTIF('Sprint W1'!$B$20:$B$24,$A80)*5+COUNTIF('Sprint W1'!$C$20:$C$24,$A80)*4+COUNTIF('Sprint W1'!$D$20:$D$24,$A80)*3+COUNTIF('Sprint W1'!$E$20:$E$24,$A80)*2+COUNTIF('Sprint W1'!$F$20:$F$24,$A80)*1)</f>
        <v>0</v>
      </c>
      <c r="D80" s="15">
        <f>IF($A80="",0,COUNTIF('Sprint W2'!$B$20:$B$24,$A80)*5+COUNTIF('Sprint W2'!$C$20:$C$24,$A80)*4+COUNTIF('Sprint W2'!$D$20:$D$24,$A80)*3+COUNTIF('Sprint W2'!$E$20:$E$24,$A80)*2+COUNTIF('Sprint W2'!$F$20:$F$24,$A80)*1)</f>
        <v>0</v>
      </c>
      <c r="E80" s="15">
        <f>IF($A80="",0,COUNTIF('Sprint W3'!$B$20:$B$24,$A80)*5+COUNTIF('Sprint W3'!$C$20:$C$24,$A80)*4+COUNTIF('Sprint W3'!$D$20:$D$24,$A80)*3+COUNTIF('Sprint W3'!$E$20:$E$24,$A80)*2+COUNTIF('Sprint W3'!$F$20:$F$24,$A80)*1)</f>
        <v>0</v>
      </c>
      <c r="F80" s="15">
        <f>IF($A80="",0,COUNTIF('Sprint W4'!$B$20:$B$24,$A80)*5+COUNTIF('Sprint W4'!$C$20:$C$24,$A80)*4+COUNTIF('Sprint W4'!$D$20:$D$24,$A80)*3+COUNTIF('Sprint W4'!$E$20:$E$24,$A80)*2+COUNTIF('Sprint W4'!$F$20:$F$24,$A80)*1)</f>
        <v>0</v>
      </c>
      <c r="G80" s="15">
        <f>IF($A80="",0,COUNTIF('Sprint W5'!$B$20:$B$24,$A80)*5+COUNTIF('Sprint W5'!$C$20:$C$24,$A80)*4+COUNTIF('Sprint W5'!$D$20:$D$24,$A80)*3+COUNTIF('Sprint W5'!$E$20:$E$24,$A80)*2+COUNTIF('Sprint W5'!$F$20:$F$24,$A80)*1)</f>
        <v>0</v>
      </c>
      <c r="H80" s="25" t="str">
        <f t="shared" si="4"/>
        <v/>
      </c>
      <c r="I80" s="26" t="str">
        <f t="shared" si="5"/>
        <v/>
      </c>
      <c r="AA80">
        <f>'Sprint W4'!F20</f>
        <v>0</v>
      </c>
      <c r="AB80">
        <f>IF(AA80="",0,IF(COUNTIF($AA$1:AA80,AA80)=1,1,0))</f>
        <v>0</v>
      </c>
      <c r="AC80" t="str">
        <f>IF(AB80=1,COUNTIF($AB$1:AB80,1),"")</f>
        <v/>
      </c>
    </row>
    <row r="81" spans="1:29" x14ac:dyDescent="0.25">
      <c r="A81" s="13" t="str">
        <f>IFERROR(INDEX($AA$1:$AA$125,MATCH(78,$AC$1:$AC$125,0)),"")</f>
        <v/>
      </c>
      <c r="B81" s="33"/>
      <c r="C81" s="15">
        <f>IF($A81="",0,COUNTIF('Sprint W1'!$B$20:$B$24,$A81)*5+COUNTIF('Sprint W1'!$C$20:$C$24,$A81)*4+COUNTIF('Sprint W1'!$D$20:$D$24,$A81)*3+COUNTIF('Sprint W1'!$E$20:$E$24,$A81)*2+COUNTIF('Sprint W1'!$F$20:$F$24,$A81)*1)</f>
        <v>0</v>
      </c>
      <c r="D81" s="15">
        <f>IF($A81="",0,COUNTIF('Sprint W2'!$B$20:$B$24,$A81)*5+COUNTIF('Sprint W2'!$C$20:$C$24,$A81)*4+COUNTIF('Sprint W2'!$D$20:$D$24,$A81)*3+COUNTIF('Sprint W2'!$E$20:$E$24,$A81)*2+COUNTIF('Sprint W2'!$F$20:$F$24,$A81)*1)</f>
        <v>0</v>
      </c>
      <c r="E81" s="15">
        <f>IF($A81="",0,COUNTIF('Sprint W3'!$B$20:$B$24,$A81)*5+COUNTIF('Sprint W3'!$C$20:$C$24,$A81)*4+COUNTIF('Sprint W3'!$D$20:$D$24,$A81)*3+COUNTIF('Sprint W3'!$E$20:$E$24,$A81)*2+COUNTIF('Sprint W3'!$F$20:$F$24,$A81)*1)</f>
        <v>0</v>
      </c>
      <c r="F81" s="15">
        <f>IF($A81="",0,COUNTIF('Sprint W4'!$B$20:$B$24,$A81)*5+COUNTIF('Sprint W4'!$C$20:$C$24,$A81)*4+COUNTIF('Sprint W4'!$D$20:$D$24,$A81)*3+COUNTIF('Sprint W4'!$E$20:$E$24,$A81)*2+COUNTIF('Sprint W4'!$F$20:$F$24,$A81)*1)</f>
        <v>0</v>
      </c>
      <c r="G81" s="15">
        <f>IF($A81="",0,COUNTIF('Sprint W5'!$B$20:$B$24,$A81)*5+COUNTIF('Sprint W5'!$C$20:$C$24,$A81)*4+COUNTIF('Sprint W5'!$D$20:$D$24,$A81)*3+COUNTIF('Sprint W5'!$E$20:$E$24,$A81)*2+COUNTIF('Sprint W5'!$F$20:$F$24,$A81)*1)</f>
        <v>0</v>
      </c>
      <c r="H81" s="25" t="str">
        <f t="shared" si="4"/>
        <v/>
      </c>
      <c r="I81" s="26" t="str">
        <f t="shared" si="5"/>
        <v/>
      </c>
      <c r="AA81">
        <f>'Sprint W4'!B21</f>
        <v>0</v>
      </c>
      <c r="AB81">
        <f>IF(AA81="",0,IF(COUNTIF($AA$1:AA81,AA81)=1,1,0))</f>
        <v>0</v>
      </c>
      <c r="AC81" t="str">
        <f>IF(AB81=1,COUNTIF($AB$1:AB81,1),"")</f>
        <v/>
      </c>
    </row>
    <row r="82" spans="1:29" x14ac:dyDescent="0.25">
      <c r="A82" s="13" t="str">
        <f>IFERROR(INDEX($AA$1:$AA$125,MATCH(79,$AC$1:$AC$125,0)),"")</f>
        <v/>
      </c>
      <c r="B82" s="33"/>
      <c r="C82" s="15">
        <f>IF($A82="",0,COUNTIF('Sprint W1'!$B$20:$B$24,$A82)*5+COUNTIF('Sprint W1'!$C$20:$C$24,$A82)*4+COUNTIF('Sprint W1'!$D$20:$D$24,$A82)*3+COUNTIF('Sprint W1'!$E$20:$E$24,$A82)*2+COUNTIF('Sprint W1'!$F$20:$F$24,$A82)*1)</f>
        <v>0</v>
      </c>
      <c r="D82" s="15">
        <f>IF($A82="",0,COUNTIF('Sprint W2'!$B$20:$B$24,$A82)*5+COUNTIF('Sprint W2'!$C$20:$C$24,$A82)*4+COUNTIF('Sprint W2'!$D$20:$D$24,$A82)*3+COUNTIF('Sprint W2'!$E$20:$E$24,$A82)*2+COUNTIF('Sprint W2'!$F$20:$F$24,$A82)*1)</f>
        <v>0</v>
      </c>
      <c r="E82" s="15">
        <f>IF($A82="",0,COUNTIF('Sprint W3'!$B$20:$B$24,$A82)*5+COUNTIF('Sprint W3'!$C$20:$C$24,$A82)*4+COUNTIF('Sprint W3'!$D$20:$D$24,$A82)*3+COUNTIF('Sprint W3'!$E$20:$E$24,$A82)*2+COUNTIF('Sprint W3'!$F$20:$F$24,$A82)*1)</f>
        <v>0</v>
      </c>
      <c r="F82" s="15">
        <f>IF($A82="",0,COUNTIF('Sprint W4'!$B$20:$B$24,$A82)*5+COUNTIF('Sprint W4'!$C$20:$C$24,$A82)*4+COUNTIF('Sprint W4'!$D$20:$D$24,$A82)*3+COUNTIF('Sprint W4'!$E$20:$E$24,$A82)*2+COUNTIF('Sprint W4'!$F$20:$F$24,$A82)*1)</f>
        <v>0</v>
      </c>
      <c r="G82" s="15">
        <f>IF($A82="",0,COUNTIF('Sprint W5'!$B$20:$B$24,$A82)*5+COUNTIF('Sprint W5'!$C$20:$C$24,$A82)*4+COUNTIF('Sprint W5'!$D$20:$D$24,$A82)*3+COUNTIF('Sprint W5'!$E$20:$E$24,$A82)*2+COUNTIF('Sprint W5'!$F$20:$F$24,$A82)*1)</f>
        <v>0</v>
      </c>
      <c r="H82" s="25" t="str">
        <f t="shared" si="4"/>
        <v/>
      </c>
      <c r="I82" s="26" t="str">
        <f t="shared" si="5"/>
        <v/>
      </c>
      <c r="AA82">
        <f>'Sprint W4'!C21</f>
        <v>0</v>
      </c>
      <c r="AB82">
        <f>IF(AA82="",0,IF(COUNTIF($AA$1:AA82,AA82)=1,1,0))</f>
        <v>0</v>
      </c>
      <c r="AC82" t="str">
        <f>IF(AB82=1,COUNTIF($AB$1:AB82,1),"")</f>
        <v/>
      </c>
    </row>
    <row r="83" spans="1:29" x14ac:dyDescent="0.25">
      <c r="A83" s="13" t="str">
        <f>IFERROR(INDEX($AA$1:$AA$125,MATCH(80,$AC$1:$AC$125,0)),"")</f>
        <v/>
      </c>
      <c r="B83" s="33"/>
      <c r="C83" s="15">
        <f>IF($A83="",0,COUNTIF('Sprint W1'!$B$20:$B$24,$A83)*5+COUNTIF('Sprint W1'!$C$20:$C$24,$A83)*4+COUNTIF('Sprint W1'!$D$20:$D$24,$A83)*3+COUNTIF('Sprint W1'!$E$20:$E$24,$A83)*2+COUNTIF('Sprint W1'!$F$20:$F$24,$A83)*1)</f>
        <v>0</v>
      </c>
      <c r="D83" s="15">
        <f>IF($A83="",0,COUNTIF('Sprint W2'!$B$20:$B$24,$A83)*5+COUNTIF('Sprint W2'!$C$20:$C$24,$A83)*4+COUNTIF('Sprint W2'!$D$20:$D$24,$A83)*3+COUNTIF('Sprint W2'!$E$20:$E$24,$A83)*2+COUNTIF('Sprint W2'!$F$20:$F$24,$A83)*1)</f>
        <v>0</v>
      </c>
      <c r="E83" s="15">
        <f>IF($A83="",0,COUNTIF('Sprint W3'!$B$20:$B$24,$A83)*5+COUNTIF('Sprint W3'!$C$20:$C$24,$A83)*4+COUNTIF('Sprint W3'!$D$20:$D$24,$A83)*3+COUNTIF('Sprint W3'!$E$20:$E$24,$A83)*2+COUNTIF('Sprint W3'!$F$20:$F$24,$A83)*1)</f>
        <v>0</v>
      </c>
      <c r="F83" s="15">
        <f>IF($A83="",0,COUNTIF('Sprint W4'!$B$20:$B$24,$A83)*5+COUNTIF('Sprint W4'!$C$20:$C$24,$A83)*4+COUNTIF('Sprint W4'!$D$20:$D$24,$A83)*3+COUNTIF('Sprint W4'!$E$20:$E$24,$A83)*2+COUNTIF('Sprint W4'!$F$20:$F$24,$A83)*1)</f>
        <v>0</v>
      </c>
      <c r="G83" s="15">
        <f>IF($A83="",0,COUNTIF('Sprint W5'!$B$20:$B$24,$A83)*5+COUNTIF('Sprint W5'!$C$20:$C$24,$A83)*4+COUNTIF('Sprint W5'!$D$20:$D$24,$A83)*3+COUNTIF('Sprint W5'!$E$20:$E$24,$A83)*2+COUNTIF('Sprint W5'!$F$20:$F$24,$A83)*1)</f>
        <v>0</v>
      </c>
      <c r="H83" s="25" t="str">
        <f t="shared" si="4"/>
        <v/>
      </c>
      <c r="I83" s="26" t="str">
        <f t="shared" si="5"/>
        <v/>
      </c>
      <c r="AA83">
        <f>'Sprint W4'!D21</f>
        <v>0</v>
      </c>
      <c r="AB83">
        <f>IF(AA83="",0,IF(COUNTIF($AA$1:AA83,AA83)=1,1,0))</f>
        <v>0</v>
      </c>
      <c r="AC83" t="str">
        <f>IF(AB83=1,COUNTIF($AB$1:AB83,1),"")</f>
        <v/>
      </c>
    </row>
    <row r="84" spans="1:29" x14ac:dyDescent="0.25">
      <c r="A84" s="13" t="str">
        <f>IFERROR(INDEX($AA$1:$AA$125,MATCH(81,$AC$1:$AC$125,0)),"")</f>
        <v/>
      </c>
      <c r="B84" s="33"/>
      <c r="C84" s="15">
        <f>IF($A84="",0,COUNTIF('Sprint W1'!$B$20:$B$24,$A84)*5+COUNTIF('Sprint W1'!$C$20:$C$24,$A84)*4+COUNTIF('Sprint W1'!$D$20:$D$24,$A84)*3+COUNTIF('Sprint W1'!$E$20:$E$24,$A84)*2+COUNTIF('Sprint W1'!$F$20:$F$24,$A84)*1)</f>
        <v>0</v>
      </c>
      <c r="D84" s="15">
        <f>IF($A84="",0,COUNTIF('Sprint W2'!$B$20:$B$24,$A84)*5+COUNTIF('Sprint W2'!$C$20:$C$24,$A84)*4+COUNTIF('Sprint W2'!$D$20:$D$24,$A84)*3+COUNTIF('Sprint W2'!$E$20:$E$24,$A84)*2+COUNTIF('Sprint W2'!$F$20:$F$24,$A84)*1)</f>
        <v>0</v>
      </c>
      <c r="E84" s="15">
        <f>IF($A84="",0,COUNTIF('Sprint W3'!$B$20:$B$24,$A84)*5+COUNTIF('Sprint W3'!$C$20:$C$24,$A84)*4+COUNTIF('Sprint W3'!$D$20:$D$24,$A84)*3+COUNTIF('Sprint W3'!$E$20:$E$24,$A84)*2+COUNTIF('Sprint W3'!$F$20:$F$24,$A84)*1)</f>
        <v>0</v>
      </c>
      <c r="F84" s="15">
        <f>IF($A84="",0,COUNTIF('Sprint W4'!$B$20:$B$24,$A84)*5+COUNTIF('Sprint W4'!$C$20:$C$24,$A84)*4+COUNTIF('Sprint W4'!$D$20:$D$24,$A84)*3+COUNTIF('Sprint W4'!$E$20:$E$24,$A84)*2+COUNTIF('Sprint W4'!$F$20:$F$24,$A84)*1)</f>
        <v>0</v>
      </c>
      <c r="G84" s="15">
        <f>IF($A84="",0,COUNTIF('Sprint W5'!$B$20:$B$24,$A84)*5+COUNTIF('Sprint W5'!$C$20:$C$24,$A84)*4+COUNTIF('Sprint W5'!$D$20:$D$24,$A84)*3+COUNTIF('Sprint W5'!$E$20:$E$24,$A84)*2+COUNTIF('Sprint W5'!$F$20:$F$24,$A84)*1)</f>
        <v>0</v>
      </c>
      <c r="H84" s="25" t="str">
        <f t="shared" si="4"/>
        <v/>
      </c>
      <c r="I84" s="26" t="str">
        <f t="shared" si="5"/>
        <v/>
      </c>
      <c r="AA84">
        <f>'Sprint W4'!E21</f>
        <v>0</v>
      </c>
      <c r="AB84">
        <f>IF(AA84="",0,IF(COUNTIF($AA$1:AA84,AA84)=1,1,0))</f>
        <v>0</v>
      </c>
      <c r="AC84" t="str">
        <f>IF(AB84=1,COUNTIF($AB$1:AB84,1),"")</f>
        <v/>
      </c>
    </row>
    <row r="85" spans="1:29" x14ac:dyDescent="0.25">
      <c r="A85" s="13" t="str">
        <f>IFERROR(INDEX($AA$1:$AA$125,MATCH(82,$AC$1:$AC$125,0)),"")</f>
        <v/>
      </c>
      <c r="B85" s="33"/>
      <c r="C85" s="15">
        <f>IF($A85="",0,COUNTIF('Sprint W1'!$B$20:$B$24,$A85)*5+COUNTIF('Sprint W1'!$C$20:$C$24,$A85)*4+COUNTIF('Sprint W1'!$D$20:$D$24,$A85)*3+COUNTIF('Sprint W1'!$E$20:$E$24,$A85)*2+COUNTIF('Sprint W1'!$F$20:$F$24,$A85)*1)</f>
        <v>0</v>
      </c>
      <c r="D85" s="15">
        <f>IF($A85="",0,COUNTIF('Sprint W2'!$B$20:$B$24,$A85)*5+COUNTIF('Sprint W2'!$C$20:$C$24,$A85)*4+COUNTIF('Sprint W2'!$D$20:$D$24,$A85)*3+COUNTIF('Sprint W2'!$E$20:$E$24,$A85)*2+COUNTIF('Sprint W2'!$F$20:$F$24,$A85)*1)</f>
        <v>0</v>
      </c>
      <c r="E85" s="15">
        <f>IF($A85="",0,COUNTIF('Sprint W3'!$B$20:$B$24,$A85)*5+COUNTIF('Sprint W3'!$C$20:$C$24,$A85)*4+COUNTIF('Sprint W3'!$D$20:$D$24,$A85)*3+COUNTIF('Sprint W3'!$E$20:$E$24,$A85)*2+COUNTIF('Sprint W3'!$F$20:$F$24,$A85)*1)</f>
        <v>0</v>
      </c>
      <c r="F85" s="15">
        <f>IF($A85="",0,COUNTIF('Sprint W4'!$B$20:$B$24,$A85)*5+COUNTIF('Sprint W4'!$C$20:$C$24,$A85)*4+COUNTIF('Sprint W4'!$D$20:$D$24,$A85)*3+COUNTIF('Sprint W4'!$E$20:$E$24,$A85)*2+COUNTIF('Sprint W4'!$F$20:$F$24,$A85)*1)</f>
        <v>0</v>
      </c>
      <c r="G85" s="15">
        <f>IF($A85="",0,COUNTIF('Sprint W5'!$B$20:$B$24,$A85)*5+COUNTIF('Sprint W5'!$C$20:$C$24,$A85)*4+COUNTIF('Sprint W5'!$D$20:$D$24,$A85)*3+COUNTIF('Sprint W5'!$E$20:$E$24,$A85)*2+COUNTIF('Sprint W5'!$F$20:$F$24,$A85)*1)</f>
        <v>0</v>
      </c>
      <c r="H85" s="25" t="str">
        <f t="shared" si="4"/>
        <v/>
      </c>
      <c r="I85" s="26" t="str">
        <f t="shared" si="5"/>
        <v/>
      </c>
      <c r="AA85">
        <f>'Sprint W4'!F21</f>
        <v>0</v>
      </c>
      <c r="AB85">
        <f>IF(AA85="",0,IF(COUNTIF($AA$1:AA85,AA85)=1,1,0))</f>
        <v>0</v>
      </c>
      <c r="AC85" t="str">
        <f>IF(AB85=1,COUNTIF($AB$1:AB85,1),"")</f>
        <v/>
      </c>
    </row>
    <row r="86" spans="1:29" x14ac:dyDescent="0.25">
      <c r="A86" s="13" t="str">
        <f>IFERROR(INDEX($AA$1:$AA$125,MATCH(83,$AC$1:$AC$125,0)),"")</f>
        <v/>
      </c>
      <c r="B86" s="33"/>
      <c r="C86" s="15">
        <f>IF($A86="",0,COUNTIF('Sprint W1'!$B$20:$B$24,$A86)*5+COUNTIF('Sprint W1'!$C$20:$C$24,$A86)*4+COUNTIF('Sprint W1'!$D$20:$D$24,$A86)*3+COUNTIF('Sprint W1'!$E$20:$E$24,$A86)*2+COUNTIF('Sprint W1'!$F$20:$F$24,$A86)*1)</f>
        <v>0</v>
      </c>
      <c r="D86" s="15">
        <f>IF($A86="",0,COUNTIF('Sprint W2'!$B$20:$B$24,$A86)*5+COUNTIF('Sprint W2'!$C$20:$C$24,$A86)*4+COUNTIF('Sprint W2'!$D$20:$D$24,$A86)*3+COUNTIF('Sprint W2'!$E$20:$E$24,$A86)*2+COUNTIF('Sprint W2'!$F$20:$F$24,$A86)*1)</f>
        <v>0</v>
      </c>
      <c r="E86" s="15">
        <f>IF($A86="",0,COUNTIF('Sprint W3'!$B$20:$B$24,$A86)*5+COUNTIF('Sprint W3'!$C$20:$C$24,$A86)*4+COUNTIF('Sprint W3'!$D$20:$D$24,$A86)*3+COUNTIF('Sprint W3'!$E$20:$E$24,$A86)*2+COUNTIF('Sprint W3'!$F$20:$F$24,$A86)*1)</f>
        <v>0</v>
      </c>
      <c r="F86" s="15">
        <f>IF($A86="",0,COUNTIF('Sprint W4'!$B$20:$B$24,$A86)*5+COUNTIF('Sprint W4'!$C$20:$C$24,$A86)*4+COUNTIF('Sprint W4'!$D$20:$D$24,$A86)*3+COUNTIF('Sprint W4'!$E$20:$E$24,$A86)*2+COUNTIF('Sprint W4'!$F$20:$F$24,$A86)*1)</f>
        <v>0</v>
      </c>
      <c r="G86" s="15">
        <f>IF($A86="",0,COUNTIF('Sprint W5'!$B$20:$B$24,$A86)*5+COUNTIF('Sprint W5'!$C$20:$C$24,$A86)*4+COUNTIF('Sprint W5'!$D$20:$D$24,$A86)*3+COUNTIF('Sprint W5'!$E$20:$E$24,$A86)*2+COUNTIF('Sprint W5'!$F$20:$F$24,$A86)*1)</f>
        <v>0</v>
      </c>
      <c r="H86" s="25" t="str">
        <f t="shared" si="4"/>
        <v/>
      </c>
      <c r="I86" s="26" t="str">
        <f t="shared" si="5"/>
        <v/>
      </c>
      <c r="AA86">
        <f>'Sprint W4'!B22</f>
        <v>0</v>
      </c>
      <c r="AB86">
        <f>IF(AA86="",0,IF(COUNTIF($AA$1:AA86,AA86)=1,1,0))</f>
        <v>0</v>
      </c>
      <c r="AC86" t="str">
        <f>IF(AB86=1,COUNTIF($AB$1:AB86,1),"")</f>
        <v/>
      </c>
    </row>
    <row r="87" spans="1:29" x14ac:dyDescent="0.25">
      <c r="A87" s="13" t="str">
        <f>IFERROR(INDEX($AA$1:$AA$125,MATCH(84,$AC$1:$AC$125,0)),"")</f>
        <v/>
      </c>
      <c r="B87" s="33"/>
      <c r="C87" s="15">
        <f>IF($A87="",0,COUNTIF('Sprint W1'!$B$20:$B$24,$A87)*5+COUNTIF('Sprint W1'!$C$20:$C$24,$A87)*4+COUNTIF('Sprint W1'!$D$20:$D$24,$A87)*3+COUNTIF('Sprint W1'!$E$20:$E$24,$A87)*2+COUNTIF('Sprint W1'!$F$20:$F$24,$A87)*1)</f>
        <v>0</v>
      </c>
      <c r="D87" s="15">
        <f>IF($A87="",0,COUNTIF('Sprint W2'!$B$20:$B$24,$A87)*5+COUNTIF('Sprint W2'!$C$20:$C$24,$A87)*4+COUNTIF('Sprint W2'!$D$20:$D$24,$A87)*3+COUNTIF('Sprint W2'!$E$20:$E$24,$A87)*2+COUNTIF('Sprint W2'!$F$20:$F$24,$A87)*1)</f>
        <v>0</v>
      </c>
      <c r="E87" s="15">
        <f>IF($A87="",0,COUNTIF('Sprint W3'!$B$20:$B$24,$A87)*5+COUNTIF('Sprint W3'!$C$20:$C$24,$A87)*4+COUNTIF('Sprint W3'!$D$20:$D$24,$A87)*3+COUNTIF('Sprint W3'!$E$20:$E$24,$A87)*2+COUNTIF('Sprint W3'!$F$20:$F$24,$A87)*1)</f>
        <v>0</v>
      </c>
      <c r="F87" s="15">
        <f>IF($A87="",0,COUNTIF('Sprint W4'!$B$20:$B$24,$A87)*5+COUNTIF('Sprint W4'!$C$20:$C$24,$A87)*4+COUNTIF('Sprint W4'!$D$20:$D$24,$A87)*3+COUNTIF('Sprint W4'!$E$20:$E$24,$A87)*2+COUNTIF('Sprint W4'!$F$20:$F$24,$A87)*1)</f>
        <v>0</v>
      </c>
      <c r="G87" s="15">
        <f>IF($A87="",0,COUNTIF('Sprint W5'!$B$20:$B$24,$A87)*5+COUNTIF('Sprint W5'!$C$20:$C$24,$A87)*4+COUNTIF('Sprint W5'!$D$20:$D$24,$A87)*3+COUNTIF('Sprint W5'!$E$20:$E$24,$A87)*2+COUNTIF('Sprint W5'!$F$20:$F$24,$A87)*1)</f>
        <v>0</v>
      </c>
      <c r="H87" s="25" t="str">
        <f t="shared" si="4"/>
        <v/>
      </c>
      <c r="I87" s="26" t="str">
        <f t="shared" si="5"/>
        <v/>
      </c>
      <c r="AA87">
        <f>'Sprint W4'!C22</f>
        <v>0</v>
      </c>
      <c r="AB87">
        <f>IF(AA87="",0,IF(COUNTIF($AA$1:AA87,AA87)=1,1,0))</f>
        <v>0</v>
      </c>
      <c r="AC87" t="str">
        <f>IF(AB87=1,COUNTIF($AB$1:AB87,1),"")</f>
        <v/>
      </c>
    </row>
    <row r="88" spans="1:29" x14ac:dyDescent="0.25">
      <c r="A88" s="13" t="str">
        <f>IFERROR(INDEX($AA$1:$AA$125,MATCH(85,$AC$1:$AC$125,0)),"")</f>
        <v/>
      </c>
      <c r="B88" s="33"/>
      <c r="C88" s="15">
        <f>IF($A88="",0,COUNTIF('Sprint W1'!$B$20:$B$24,$A88)*5+COUNTIF('Sprint W1'!$C$20:$C$24,$A88)*4+COUNTIF('Sprint W1'!$D$20:$D$24,$A88)*3+COUNTIF('Sprint W1'!$E$20:$E$24,$A88)*2+COUNTIF('Sprint W1'!$F$20:$F$24,$A88)*1)</f>
        <v>0</v>
      </c>
      <c r="D88" s="15">
        <f>IF($A88="",0,COUNTIF('Sprint W2'!$B$20:$B$24,$A88)*5+COUNTIF('Sprint W2'!$C$20:$C$24,$A88)*4+COUNTIF('Sprint W2'!$D$20:$D$24,$A88)*3+COUNTIF('Sprint W2'!$E$20:$E$24,$A88)*2+COUNTIF('Sprint W2'!$F$20:$F$24,$A88)*1)</f>
        <v>0</v>
      </c>
      <c r="E88" s="15">
        <f>IF($A88="",0,COUNTIF('Sprint W3'!$B$20:$B$24,$A88)*5+COUNTIF('Sprint W3'!$C$20:$C$24,$A88)*4+COUNTIF('Sprint W3'!$D$20:$D$24,$A88)*3+COUNTIF('Sprint W3'!$E$20:$E$24,$A88)*2+COUNTIF('Sprint W3'!$F$20:$F$24,$A88)*1)</f>
        <v>0</v>
      </c>
      <c r="F88" s="15">
        <f>IF($A88="",0,COUNTIF('Sprint W4'!$B$20:$B$24,$A88)*5+COUNTIF('Sprint W4'!$C$20:$C$24,$A88)*4+COUNTIF('Sprint W4'!$D$20:$D$24,$A88)*3+COUNTIF('Sprint W4'!$E$20:$E$24,$A88)*2+COUNTIF('Sprint W4'!$F$20:$F$24,$A88)*1)</f>
        <v>0</v>
      </c>
      <c r="G88" s="15">
        <f>IF($A88="",0,COUNTIF('Sprint W5'!$B$20:$B$24,$A88)*5+COUNTIF('Sprint W5'!$C$20:$C$24,$A88)*4+COUNTIF('Sprint W5'!$D$20:$D$24,$A88)*3+COUNTIF('Sprint W5'!$E$20:$E$24,$A88)*2+COUNTIF('Sprint W5'!$F$20:$F$24,$A88)*1)</f>
        <v>0</v>
      </c>
      <c r="H88" s="25" t="str">
        <f t="shared" si="4"/>
        <v/>
      </c>
      <c r="I88" s="26" t="str">
        <f t="shared" si="5"/>
        <v/>
      </c>
      <c r="AA88">
        <f>'Sprint W4'!D22</f>
        <v>0</v>
      </c>
      <c r="AB88">
        <f>IF(AA88="",0,IF(COUNTIF($AA$1:AA88,AA88)=1,1,0))</f>
        <v>0</v>
      </c>
      <c r="AC88" t="str">
        <f>IF(AB88=1,COUNTIF($AB$1:AB88,1),"")</f>
        <v/>
      </c>
    </row>
    <row r="89" spans="1:29" x14ac:dyDescent="0.25">
      <c r="A89" s="13" t="str">
        <f>IFERROR(INDEX($AA$1:$AA$125,MATCH(86,$AC$1:$AC$125,0)),"")</f>
        <v/>
      </c>
      <c r="B89" s="33"/>
      <c r="C89" s="15">
        <f>IF($A89="",0,COUNTIF('Sprint W1'!$B$20:$B$24,$A89)*5+COUNTIF('Sprint W1'!$C$20:$C$24,$A89)*4+COUNTIF('Sprint W1'!$D$20:$D$24,$A89)*3+COUNTIF('Sprint W1'!$E$20:$E$24,$A89)*2+COUNTIF('Sprint W1'!$F$20:$F$24,$A89)*1)</f>
        <v>0</v>
      </c>
      <c r="D89" s="15">
        <f>IF($A89="",0,COUNTIF('Sprint W2'!$B$20:$B$24,$A89)*5+COUNTIF('Sprint W2'!$C$20:$C$24,$A89)*4+COUNTIF('Sprint W2'!$D$20:$D$24,$A89)*3+COUNTIF('Sprint W2'!$E$20:$E$24,$A89)*2+COUNTIF('Sprint W2'!$F$20:$F$24,$A89)*1)</f>
        <v>0</v>
      </c>
      <c r="E89" s="15">
        <f>IF($A89="",0,COUNTIF('Sprint W3'!$B$20:$B$24,$A89)*5+COUNTIF('Sprint W3'!$C$20:$C$24,$A89)*4+COUNTIF('Sprint W3'!$D$20:$D$24,$A89)*3+COUNTIF('Sprint W3'!$E$20:$E$24,$A89)*2+COUNTIF('Sprint W3'!$F$20:$F$24,$A89)*1)</f>
        <v>0</v>
      </c>
      <c r="F89" s="15">
        <f>IF($A89="",0,COUNTIF('Sprint W4'!$B$20:$B$24,$A89)*5+COUNTIF('Sprint W4'!$C$20:$C$24,$A89)*4+COUNTIF('Sprint W4'!$D$20:$D$24,$A89)*3+COUNTIF('Sprint W4'!$E$20:$E$24,$A89)*2+COUNTIF('Sprint W4'!$F$20:$F$24,$A89)*1)</f>
        <v>0</v>
      </c>
      <c r="G89" s="15">
        <f>IF($A89="",0,COUNTIF('Sprint W5'!$B$20:$B$24,$A89)*5+COUNTIF('Sprint W5'!$C$20:$C$24,$A89)*4+COUNTIF('Sprint W5'!$D$20:$D$24,$A89)*3+COUNTIF('Sprint W5'!$E$20:$E$24,$A89)*2+COUNTIF('Sprint W5'!$F$20:$F$24,$A89)*1)</f>
        <v>0</v>
      </c>
      <c r="H89" s="25" t="str">
        <f t="shared" si="4"/>
        <v/>
      </c>
      <c r="I89" s="26" t="str">
        <f t="shared" si="5"/>
        <v/>
      </c>
      <c r="AA89">
        <f>'Sprint W4'!E22</f>
        <v>0</v>
      </c>
      <c r="AB89">
        <f>IF(AA89="",0,IF(COUNTIF($AA$1:AA89,AA89)=1,1,0))</f>
        <v>0</v>
      </c>
      <c r="AC89" t="str">
        <f>IF(AB89=1,COUNTIF($AB$1:AB89,1),"")</f>
        <v/>
      </c>
    </row>
    <row r="90" spans="1:29" x14ac:dyDescent="0.25">
      <c r="A90" s="13" t="str">
        <f>IFERROR(INDEX($AA$1:$AA$125,MATCH(87,$AC$1:$AC$125,0)),"")</f>
        <v/>
      </c>
      <c r="B90" s="33"/>
      <c r="C90" s="15">
        <f>IF($A90="",0,COUNTIF('Sprint W1'!$B$20:$B$24,$A90)*5+COUNTIF('Sprint W1'!$C$20:$C$24,$A90)*4+COUNTIF('Sprint W1'!$D$20:$D$24,$A90)*3+COUNTIF('Sprint W1'!$E$20:$E$24,$A90)*2+COUNTIF('Sprint W1'!$F$20:$F$24,$A90)*1)</f>
        <v>0</v>
      </c>
      <c r="D90" s="15">
        <f>IF($A90="",0,COUNTIF('Sprint W2'!$B$20:$B$24,$A90)*5+COUNTIF('Sprint W2'!$C$20:$C$24,$A90)*4+COUNTIF('Sprint W2'!$D$20:$D$24,$A90)*3+COUNTIF('Sprint W2'!$E$20:$E$24,$A90)*2+COUNTIF('Sprint W2'!$F$20:$F$24,$A90)*1)</f>
        <v>0</v>
      </c>
      <c r="E90" s="15">
        <f>IF($A90="",0,COUNTIF('Sprint W3'!$B$20:$B$24,$A90)*5+COUNTIF('Sprint W3'!$C$20:$C$24,$A90)*4+COUNTIF('Sprint W3'!$D$20:$D$24,$A90)*3+COUNTIF('Sprint W3'!$E$20:$E$24,$A90)*2+COUNTIF('Sprint W3'!$F$20:$F$24,$A90)*1)</f>
        <v>0</v>
      </c>
      <c r="F90" s="15">
        <f>IF($A90="",0,COUNTIF('Sprint W4'!$B$20:$B$24,$A90)*5+COUNTIF('Sprint W4'!$C$20:$C$24,$A90)*4+COUNTIF('Sprint W4'!$D$20:$D$24,$A90)*3+COUNTIF('Sprint W4'!$E$20:$E$24,$A90)*2+COUNTIF('Sprint W4'!$F$20:$F$24,$A90)*1)</f>
        <v>0</v>
      </c>
      <c r="G90" s="15">
        <f>IF($A90="",0,COUNTIF('Sprint W5'!$B$20:$B$24,$A90)*5+COUNTIF('Sprint W5'!$C$20:$C$24,$A90)*4+COUNTIF('Sprint W5'!$D$20:$D$24,$A90)*3+COUNTIF('Sprint W5'!$E$20:$E$24,$A90)*2+COUNTIF('Sprint W5'!$F$20:$F$24,$A90)*1)</f>
        <v>0</v>
      </c>
      <c r="H90" s="25" t="str">
        <f t="shared" si="4"/>
        <v/>
      </c>
      <c r="I90" s="26" t="str">
        <f t="shared" si="5"/>
        <v/>
      </c>
      <c r="AA90">
        <f>'Sprint W4'!F22</f>
        <v>0</v>
      </c>
      <c r="AB90">
        <f>IF(AA90="",0,IF(COUNTIF($AA$1:AA90,AA90)=1,1,0))</f>
        <v>0</v>
      </c>
      <c r="AC90" t="str">
        <f>IF(AB90=1,COUNTIF($AB$1:AB90,1),"")</f>
        <v/>
      </c>
    </row>
    <row r="91" spans="1:29" x14ac:dyDescent="0.25">
      <c r="A91" s="13" t="str">
        <f>IFERROR(INDEX($AA$1:$AA$125,MATCH(88,$AC$1:$AC$125,0)),"")</f>
        <v/>
      </c>
      <c r="B91" s="33"/>
      <c r="C91" s="15">
        <f>IF($A91="",0,COUNTIF('Sprint W1'!$B$20:$B$24,$A91)*5+COUNTIF('Sprint W1'!$C$20:$C$24,$A91)*4+COUNTIF('Sprint W1'!$D$20:$D$24,$A91)*3+COUNTIF('Sprint W1'!$E$20:$E$24,$A91)*2+COUNTIF('Sprint W1'!$F$20:$F$24,$A91)*1)</f>
        <v>0</v>
      </c>
      <c r="D91" s="15">
        <f>IF($A91="",0,COUNTIF('Sprint W2'!$B$20:$B$24,$A91)*5+COUNTIF('Sprint W2'!$C$20:$C$24,$A91)*4+COUNTIF('Sprint W2'!$D$20:$D$24,$A91)*3+COUNTIF('Sprint W2'!$E$20:$E$24,$A91)*2+COUNTIF('Sprint W2'!$F$20:$F$24,$A91)*1)</f>
        <v>0</v>
      </c>
      <c r="E91" s="15">
        <f>IF($A91="",0,COUNTIF('Sprint W3'!$B$20:$B$24,$A91)*5+COUNTIF('Sprint W3'!$C$20:$C$24,$A91)*4+COUNTIF('Sprint W3'!$D$20:$D$24,$A91)*3+COUNTIF('Sprint W3'!$E$20:$E$24,$A91)*2+COUNTIF('Sprint W3'!$F$20:$F$24,$A91)*1)</f>
        <v>0</v>
      </c>
      <c r="F91" s="15">
        <f>IF($A91="",0,COUNTIF('Sprint W4'!$B$20:$B$24,$A91)*5+COUNTIF('Sprint W4'!$C$20:$C$24,$A91)*4+COUNTIF('Sprint W4'!$D$20:$D$24,$A91)*3+COUNTIF('Sprint W4'!$E$20:$E$24,$A91)*2+COUNTIF('Sprint W4'!$F$20:$F$24,$A91)*1)</f>
        <v>0</v>
      </c>
      <c r="G91" s="15">
        <f>IF($A91="",0,COUNTIF('Sprint W5'!$B$20:$B$24,$A91)*5+COUNTIF('Sprint W5'!$C$20:$C$24,$A91)*4+COUNTIF('Sprint W5'!$D$20:$D$24,$A91)*3+COUNTIF('Sprint W5'!$E$20:$E$24,$A91)*2+COUNTIF('Sprint W5'!$F$20:$F$24,$A91)*1)</f>
        <v>0</v>
      </c>
      <c r="H91" s="25" t="str">
        <f t="shared" si="4"/>
        <v/>
      </c>
      <c r="I91" s="26" t="str">
        <f t="shared" si="5"/>
        <v/>
      </c>
      <c r="AA91">
        <f>'Sprint W4'!B23</f>
        <v>0</v>
      </c>
      <c r="AB91">
        <f>IF(AA91="",0,IF(COUNTIF($AA$1:AA91,AA91)=1,1,0))</f>
        <v>0</v>
      </c>
      <c r="AC91" t="str">
        <f>IF(AB91=1,COUNTIF($AB$1:AB91,1),"")</f>
        <v/>
      </c>
    </row>
    <row r="92" spans="1:29" x14ac:dyDescent="0.25">
      <c r="A92" s="13" t="str">
        <f>IFERROR(INDEX($AA$1:$AA$125,MATCH(89,$AC$1:$AC$125,0)),"")</f>
        <v/>
      </c>
      <c r="B92" s="33"/>
      <c r="C92" s="15">
        <f>IF($A92="",0,COUNTIF('Sprint W1'!$B$20:$B$24,$A92)*5+COUNTIF('Sprint W1'!$C$20:$C$24,$A92)*4+COUNTIF('Sprint W1'!$D$20:$D$24,$A92)*3+COUNTIF('Sprint W1'!$E$20:$E$24,$A92)*2+COUNTIF('Sprint W1'!$F$20:$F$24,$A92)*1)</f>
        <v>0</v>
      </c>
      <c r="D92" s="15">
        <f>IF($A92="",0,COUNTIF('Sprint W2'!$B$20:$B$24,$A92)*5+COUNTIF('Sprint W2'!$C$20:$C$24,$A92)*4+COUNTIF('Sprint W2'!$D$20:$D$24,$A92)*3+COUNTIF('Sprint W2'!$E$20:$E$24,$A92)*2+COUNTIF('Sprint W2'!$F$20:$F$24,$A92)*1)</f>
        <v>0</v>
      </c>
      <c r="E92" s="15">
        <f>IF($A92="",0,COUNTIF('Sprint W3'!$B$20:$B$24,$A92)*5+COUNTIF('Sprint W3'!$C$20:$C$24,$A92)*4+COUNTIF('Sprint W3'!$D$20:$D$24,$A92)*3+COUNTIF('Sprint W3'!$E$20:$E$24,$A92)*2+COUNTIF('Sprint W3'!$F$20:$F$24,$A92)*1)</f>
        <v>0</v>
      </c>
      <c r="F92" s="15">
        <f>IF($A92="",0,COUNTIF('Sprint W4'!$B$20:$B$24,$A92)*5+COUNTIF('Sprint W4'!$C$20:$C$24,$A92)*4+COUNTIF('Sprint W4'!$D$20:$D$24,$A92)*3+COUNTIF('Sprint W4'!$E$20:$E$24,$A92)*2+COUNTIF('Sprint W4'!$F$20:$F$24,$A92)*1)</f>
        <v>0</v>
      </c>
      <c r="G92" s="15">
        <f>IF($A92="",0,COUNTIF('Sprint W5'!$B$20:$B$24,$A92)*5+COUNTIF('Sprint W5'!$C$20:$C$24,$A92)*4+COUNTIF('Sprint W5'!$D$20:$D$24,$A92)*3+COUNTIF('Sprint W5'!$E$20:$E$24,$A92)*2+COUNTIF('Sprint W5'!$F$20:$F$24,$A92)*1)</f>
        <v>0</v>
      </c>
      <c r="H92" s="25" t="str">
        <f t="shared" si="4"/>
        <v/>
      </c>
      <c r="I92" s="26" t="str">
        <f t="shared" si="5"/>
        <v/>
      </c>
      <c r="AA92">
        <f>'Sprint W4'!C23</f>
        <v>0</v>
      </c>
      <c r="AB92">
        <f>IF(AA92="",0,IF(COUNTIF($AA$1:AA92,AA92)=1,1,0))</f>
        <v>0</v>
      </c>
      <c r="AC92" t="str">
        <f>IF(AB92=1,COUNTIF($AB$1:AB92,1),"")</f>
        <v/>
      </c>
    </row>
    <row r="93" spans="1:29" x14ac:dyDescent="0.25">
      <c r="A93" s="13" t="str">
        <f>IFERROR(INDEX($AA$1:$AA$125,MATCH(90,$AC$1:$AC$125,0)),"")</f>
        <v/>
      </c>
      <c r="B93" s="33"/>
      <c r="C93" s="15">
        <f>IF($A93="",0,COUNTIF('Sprint W1'!$B$20:$B$24,$A93)*5+COUNTIF('Sprint W1'!$C$20:$C$24,$A93)*4+COUNTIF('Sprint W1'!$D$20:$D$24,$A93)*3+COUNTIF('Sprint W1'!$E$20:$E$24,$A93)*2+COUNTIF('Sprint W1'!$F$20:$F$24,$A93)*1)</f>
        <v>0</v>
      </c>
      <c r="D93" s="15">
        <f>IF($A93="",0,COUNTIF('Sprint W2'!$B$20:$B$24,$A93)*5+COUNTIF('Sprint W2'!$C$20:$C$24,$A93)*4+COUNTIF('Sprint W2'!$D$20:$D$24,$A93)*3+COUNTIF('Sprint W2'!$E$20:$E$24,$A93)*2+COUNTIF('Sprint W2'!$F$20:$F$24,$A93)*1)</f>
        <v>0</v>
      </c>
      <c r="E93" s="15">
        <f>IF($A93="",0,COUNTIF('Sprint W3'!$B$20:$B$24,$A93)*5+COUNTIF('Sprint W3'!$C$20:$C$24,$A93)*4+COUNTIF('Sprint W3'!$D$20:$D$24,$A93)*3+COUNTIF('Sprint W3'!$E$20:$E$24,$A93)*2+COUNTIF('Sprint W3'!$F$20:$F$24,$A93)*1)</f>
        <v>0</v>
      </c>
      <c r="F93" s="15">
        <f>IF($A93="",0,COUNTIF('Sprint W4'!$B$20:$B$24,$A93)*5+COUNTIF('Sprint W4'!$C$20:$C$24,$A93)*4+COUNTIF('Sprint W4'!$D$20:$D$24,$A93)*3+COUNTIF('Sprint W4'!$E$20:$E$24,$A93)*2+COUNTIF('Sprint W4'!$F$20:$F$24,$A93)*1)</f>
        <v>0</v>
      </c>
      <c r="G93" s="15">
        <f>IF($A93="",0,COUNTIF('Sprint W5'!$B$20:$B$24,$A93)*5+COUNTIF('Sprint W5'!$C$20:$C$24,$A93)*4+COUNTIF('Sprint W5'!$D$20:$D$24,$A93)*3+COUNTIF('Sprint W5'!$E$20:$E$24,$A93)*2+COUNTIF('Sprint W5'!$F$20:$F$24,$A93)*1)</f>
        <v>0</v>
      </c>
      <c r="H93" s="25" t="str">
        <f t="shared" si="4"/>
        <v/>
      </c>
      <c r="I93" s="26" t="str">
        <f t="shared" si="5"/>
        <v/>
      </c>
      <c r="AA93">
        <f>'Sprint W4'!D23</f>
        <v>0</v>
      </c>
      <c r="AB93">
        <f>IF(AA93="",0,IF(COUNTIF($AA$1:AA93,AA93)=1,1,0))</f>
        <v>0</v>
      </c>
      <c r="AC93" t="str">
        <f>IF(AB93=1,COUNTIF($AB$1:AB93,1),"")</f>
        <v/>
      </c>
    </row>
    <row r="94" spans="1:29" x14ac:dyDescent="0.25">
      <c r="A94" s="13" t="str">
        <f>IFERROR(INDEX($AA$1:$AA$125,MATCH(91,$AC$1:$AC$125,0)),"")</f>
        <v/>
      </c>
      <c r="B94" s="33"/>
      <c r="C94" s="15">
        <f>IF($A94="",0,COUNTIF('Sprint W1'!$B$20:$B$24,$A94)*5+COUNTIF('Sprint W1'!$C$20:$C$24,$A94)*4+COUNTIF('Sprint W1'!$D$20:$D$24,$A94)*3+COUNTIF('Sprint W1'!$E$20:$E$24,$A94)*2+COUNTIF('Sprint W1'!$F$20:$F$24,$A94)*1)</f>
        <v>0</v>
      </c>
      <c r="D94" s="15">
        <f>IF($A94="",0,COUNTIF('Sprint W2'!$B$20:$B$24,$A94)*5+COUNTIF('Sprint W2'!$C$20:$C$24,$A94)*4+COUNTIF('Sprint W2'!$D$20:$D$24,$A94)*3+COUNTIF('Sprint W2'!$E$20:$E$24,$A94)*2+COUNTIF('Sprint W2'!$F$20:$F$24,$A94)*1)</f>
        <v>0</v>
      </c>
      <c r="E94" s="15">
        <f>IF($A94="",0,COUNTIF('Sprint W3'!$B$20:$B$24,$A94)*5+COUNTIF('Sprint W3'!$C$20:$C$24,$A94)*4+COUNTIF('Sprint W3'!$D$20:$D$24,$A94)*3+COUNTIF('Sprint W3'!$E$20:$E$24,$A94)*2+COUNTIF('Sprint W3'!$F$20:$F$24,$A94)*1)</f>
        <v>0</v>
      </c>
      <c r="F94" s="15">
        <f>IF($A94="",0,COUNTIF('Sprint W4'!$B$20:$B$24,$A94)*5+COUNTIF('Sprint W4'!$C$20:$C$24,$A94)*4+COUNTIF('Sprint W4'!$D$20:$D$24,$A94)*3+COUNTIF('Sprint W4'!$E$20:$E$24,$A94)*2+COUNTIF('Sprint W4'!$F$20:$F$24,$A94)*1)</f>
        <v>0</v>
      </c>
      <c r="G94" s="15">
        <f>IF($A94="",0,COUNTIF('Sprint W5'!$B$20:$B$24,$A94)*5+COUNTIF('Sprint W5'!$C$20:$C$24,$A94)*4+COUNTIF('Sprint W5'!$D$20:$D$24,$A94)*3+COUNTIF('Sprint W5'!$E$20:$E$24,$A94)*2+COUNTIF('Sprint W5'!$F$20:$F$24,$A94)*1)</f>
        <v>0</v>
      </c>
      <c r="H94" s="25" t="str">
        <f t="shared" si="4"/>
        <v/>
      </c>
      <c r="I94" s="26" t="str">
        <f t="shared" si="5"/>
        <v/>
      </c>
      <c r="AA94">
        <f>'Sprint W4'!E23</f>
        <v>0</v>
      </c>
      <c r="AB94">
        <f>IF(AA94="",0,IF(COUNTIF($AA$1:AA94,AA94)=1,1,0))</f>
        <v>0</v>
      </c>
      <c r="AC94" t="str">
        <f>IF(AB94=1,COUNTIF($AB$1:AB94,1),"")</f>
        <v/>
      </c>
    </row>
    <row r="95" spans="1:29" x14ac:dyDescent="0.25">
      <c r="A95" s="13" t="str">
        <f>IFERROR(INDEX($AA$1:$AA$125,MATCH(92,$AC$1:$AC$125,0)),"")</f>
        <v/>
      </c>
      <c r="B95" s="33"/>
      <c r="C95" s="15">
        <f>IF($A95="",0,COUNTIF('Sprint W1'!$B$20:$B$24,$A95)*5+COUNTIF('Sprint W1'!$C$20:$C$24,$A95)*4+COUNTIF('Sprint W1'!$D$20:$D$24,$A95)*3+COUNTIF('Sprint W1'!$E$20:$E$24,$A95)*2+COUNTIF('Sprint W1'!$F$20:$F$24,$A95)*1)</f>
        <v>0</v>
      </c>
      <c r="D95" s="15">
        <f>IF($A95="",0,COUNTIF('Sprint W2'!$B$20:$B$24,$A95)*5+COUNTIF('Sprint W2'!$C$20:$C$24,$A95)*4+COUNTIF('Sprint W2'!$D$20:$D$24,$A95)*3+COUNTIF('Sprint W2'!$E$20:$E$24,$A95)*2+COUNTIF('Sprint W2'!$F$20:$F$24,$A95)*1)</f>
        <v>0</v>
      </c>
      <c r="E95" s="15">
        <f>IF($A95="",0,COUNTIF('Sprint W3'!$B$20:$B$24,$A95)*5+COUNTIF('Sprint W3'!$C$20:$C$24,$A95)*4+COUNTIF('Sprint W3'!$D$20:$D$24,$A95)*3+COUNTIF('Sprint W3'!$E$20:$E$24,$A95)*2+COUNTIF('Sprint W3'!$F$20:$F$24,$A95)*1)</f>
        <v>0</v>
      </c>
      <c r="F95" s="15">
        <f>IF($A95="",0,COUNTIF('Sprint W4'!$B$20:$B$24,$A95)*5+COUNTIF('Sprint W4'!$C$20:$C$24,$A95)*4+COUNTIF('Sprint W4'!$D$20:$D$24,$A95)*3+COUNTIF('Sprint W4'!$E$20:$E$24,$A95)*2+COUNTIF('Sprint W4'!$F$20:$F$24,$A95)*1)</f>
        <v>0</v>
      </c>
      <c r="G95" s="15">
        <f>IF($A95="",0,COUNTIF('Sprint W5'!$B$20:$B$24,$A95)*5+COUNTIF('Sprint W5'!$C$20:$C$24,$A95)*4+COUNTIF('Sprint W5'!$D$20:$D$24,$A95)*3+COUNTIF('Sprint W5'!$E$20:$E$24,$A95)*2+COUNTIF('Sprint W5'!$F$20:$F$24,$A95)*1)</f>
        <v>0</v>
      </c>
      <c r="H95" s="25" t="str">
        <f t="shared" si="4"/>
        <v/>
      </c>
      <c r="I95" s="26" t="str">
        <f t="shared" si="5"/>
        <v/>
      </c>
      <c r="AA95">
        <f>'Sprint W4'!F23</f>
        <v>0</v>
      </c>
      <c r="AB95">
        <f>IF(AA95="",0,IF(COUNTIF($AA$1:AA95,AA95)=1,1,0))</f>
        <v>0</v>
      </c>
      <c r="AC95" t="str">
        <f>IF(AB95=1,COUNTIF($AB$1:AB95,1),"")</f>
        <v/>
      </c>
    </row>
    <row r="96" spans="1:29" x14ac:dyDescent="0.25">
      <c r="A96" s="13" t="str">
        <f>IFERROR(INDEX($AA$1:$AA$125,MATCH(93,$AC$1:$AC$125,0)),"")</f>
        <v/>
      </c>
      <c r="B96" s="33"/>
      <c r="C96" s="15">
        <f>IF($A96="",0,COUNTIF('Sprint W1'!$B$20:$B$24,$A96)*5+COUNTIF('Sprint W1'!$C$20:$C$24,$A96)*4+COUNTIF('Sprint W1'!$D$20:$D$24,$A96)*3+COUNTIF('Sprint W1'!$E$20:$E$24,$A96)*2+COUNTIF('Sprint W1'!$F$20:$F$24,$A96)*1)</f>
        <v>0</v>
      </c>
      <c r="D96" s="15">
        <f>IF($A96="",0,COUNTIF('Sprint W2'!$B$20:$B$24,$A96)*5+COUNTIF('Sprint W2'!$C$20:$C$24,$A96)*4+COUNTIF('Sprint W2'!$D$20:$D$24,$A96)*3+COUNTIF('Sprint W2'!$E$20:$E$24,$A96)*2+COUNTIF('Sprint W2'!$F$20:$F$24,$A96)*1)</f>
        <v>0</v>
      </c>
      <c r="E96" s="15">
        <f>IF($A96="",0,COUNTIF('Sprint W3'!$B$20:$B$24,$A96)*5+COUNTIF('Sprint W3'!$C$20:$C$24,$A96)*4+COUNTIF('Sprint W3'!$D$20:$D$24,$A96)*3+COUNTIF('Sprint W3'!$E$20:$E$24,$A96)*2+COUNTIF('Sprint W3'!$F$20:$F$24,$A96)*1)</f>
        <v>0</v>
      </c>
      <c r="F96" s="15">
        <f>IF($A96="",0,COUNTIF('Sprint W4'!$B$20:$B$24,$A96)*5+COUNTIF('Sprint W4'!$C$20:$C$24,$A96)*4+COUNTIF('Sprint W4'!$D$20:$D$24,$A96)*3+COUNTIF('Sprint W4'!$E$20:$E$24,$A96)*2+COUNTIF('Sprint W4'!$F$20:$F$24,$A96)*1)</f>
        <v>0</v>
      </c>
      <c r="G96" s="15">
        <f>IF($A96="",0,COUNTIF('Sprint W5'!$B$20:$B$24,$A96)*5+COUNTIF('Sprint W5'!$C$20:$C$24,$A96)*4+COUNTIF('Sprint W5'!$D$20:$D$24,$A96)*3+COUNTIF('Sprint W5'!$E$20:$E$24,$A96)*2+COUNTIF('Sprint W5'!$F$20:$F$24,$A96)*1)</f>
        <v>0</v>
      </c>
      <c r="H96" s="25" t="str">
        <f t="shared" si="4"/>
        <v/>
      </c>
      <c r="I96" s="26" t="str">
        <f t="shared" si="5"/>
        <v/>
      </c>
      <c r="AA96">
        <f>'Sprint W4'!B24</f>
        <v>0</v>
      </c>
      <c r="AB96">
        <f>IF(AA96="",0,IF(COUNTIF($AA$1:AA96,AA96)=1,1,0))</f>
        <v>0</v>
      </c>
      <c r="AC96" t="str">
        <f>IF(AB96=1,COUNTIF($AB$1:AB96,1),"")</f>
        <v/>
      </c>
    </row>
    <row r="97" spans="1:29" x14ac:dyDescent="0.25">
      <c r="A97" s="13" t="str">
        <f>IFERROR(INDEX($AA$1:$AA$125,MATCH(94,$AC$1:$AC$125,0)),"")</f>
        <v/>
      </c>
      <c r="B97" s="33"/>
      <c r="C97" s="15">
        <f>IF($A97="",0,COUNTIF('Sprint W1'!$B$20:$B$24,$A97)*5+COUNTIF('Sprint W1'!$C$20:$C$24,$A97)*4+COUNTIF('Sprint W1'!$D$20:$D$24,$A97)*3+COUNTIF('Sprint W1'!$E$20:$E$24,$A97)*2+COUNTIF('Sprint W1'!$F$20:$F$24,$A97)*1)</f>
        <v>0</v>
      </c>
      <c r="D97" s="15">
        <f>IF($A97="",0,COUNTIF('Sprint W2'!$B$20:$B$24,$A97)*5+COUNTIF('Sprint W2'!$C$20:$C$24,$A97)*4+COUNTIF('Sprint W2'!$D$20:$D$24,$A97)*3+COUNTIF('Sprint W2'!$E$20:$E$24,$A97)*2+COUNTIF('Sprint W2'!$F$20:$F$24,$A97)*1)</f>
        <v>0</v>
      </c>
      <c r="E97" s="15">
        <f>IF($A97="",0,COUNTIF('Sprint W3'!$B$20:$B$24,$A97)*5+COUNTIF('Sprint W3'!$C$20:$C$24,$A97)*4+COUNTIF('Sprint W3'!$D$20:$D$24,$A97)*3+COUNTIF('Sprint W3'!$E$20:$E$24,$A97)*2+COUNTIF('Sprint W3'!$F$20:$F$24,$A97)*1)</f>
        <v>0</v>
      </c>
      <c r="F97" s="15">
        <f>IF($A97="",0,COUNTIF('Sprint W4'!$B$20:$B$24,$A97)*5+COUNTIF('Sprint W4'!$C$20:$C$24,$A97)*4+COUNTIF('Sprint W4'!$D$20:$D$24,$A97)*3+COUNTIF('Sprint W4'!$E$20:$E$24,$A97)*2+COUNTIF('Sprint W4'!$F$20:$F$24,$A97)*1)</f>
        <v>0</v>
      </c>
      <c r="G97" s="15">
        <f>IF($A97="",0,COUNTIF('Sprint W5'!$B$20:$B$24,$A97)*5+COUNTIF('Sprint W5'!$C$20:$C$24,$A97)*4+COUNTIF('Sprint W5'!$D$20:$D$24,$A97)*3+COUNTIF('Sprint W5'!$E$20:$E$24,$A97)*2+COUNTIF('Sprint W5'!$F$20:$F$24,$A97)*1)</f>
        <v>0</v>
      </c>
      <c r="H97" s="25" t="str">
        <f t="shared" si="4"/>
        <v/>
      </c>
      <c r="I97" s="26" t="str">
        <f t="shared" si="5"/>
        <v/>
      </c>
      <c r="AA97">
        <f>'Sprint W4'!C24</f>
        <v>0</v>
      </c>
      <c r="AB97">
        <f>IF(AA97="",0,IF(COUNTIF($AA$1:AA97,AA97)=1,1,0))</f>
        <v>0</v>
      </c>
      <c r="AC97" t="str">
        <f>IF(AB97=1,COUNTIF($AB$1:AB97,1),"")</f>
        <v/>
      </c>
    </row>
    <row r="98" spans="1:29" x14ac:dyDescent="0.25">
      <c r="A98" s="13" t="str">
        <f>IFERROR(INDEX($AA$1:$AA$125,MATCH(95,$AC$1:$AC$125,0)),"")</f>
        <v/>
      </c>
      <c r="B98" s="33"/>
      <c r="C98" s="15">
        <f>IF($A98="",0,COUNTIF('Sprint W1'!$B$20:$B$24,$A98)*5+COUNTIF('Sprint W1'!$C$20:$C$24,$A98)*4+COUNTIF('Sprint W1'!$D$20:$D$24,$A98)*3+COUNTIF('Sprint W1'!$E$20:$E$24,$A98)*2+COUNTIF('Sprint W1'!$F$20:$F$24,$A98)*1)</f>
        <v>0</v>
      </c>
      <c r="D98" s="15">
        <f>IF($A98="",0,COUNTIF('Sprint W2'!$B$20:$B$24,$A98)*5+COUNTIF('Sprint W2'!$C$20:$C$24,$A98)*4+COUNTIF('Sprint W2'!$D$20:$D$24,$A98)*3+COUNTIF('Sprint W2'!$E$20:$E$24,$A98)*2+COUNTIF('Sprint W2'!$F$20:$F$24,$A98)*1)</f>
        <v>0</v>
      </c>
      <c r="E98" s="15">
        <f>IF($A98="",0,COUNTIF('Sprint W3'!$B$20:$B$24,$A98)*5+COUNTIF('Sprint W3'!$C$20:$C$24,$A98)*4+COUNTIF('Sprint W3'!$D$20:$D$24,$A98)*3+COUNTIF('Sprint W3'!$E$20:$E$24,$A98)*2+COUNTIF('Sprint W3'!$F$20:$F$24,$A98)*1)</f>
        <v>0</v>
      </c>
      <c r="F98" s="15">
        <f>IF($A98="",0,COUNTIF('Sprint W4'!$B$20:$B$24,$A98)*5+COUNTIF('Sprint W4'!$C$20:$C$24,$A98)*4+COUNTIF('Sprint W4'!$D$20:$D$24,$A98)*3+COUNTIF('Sprint W4'!$E$20:$E$24,$A98)*2+COUNTIF('Sprint W4'!$F$20:$F$24,$A98)*1)</f>
        <v>0</v>
      </c>
      <c r="G98" s="15">
        <f>IF($A98="",0,COUNTIF('Sprint W5'!$B$20:$B$24,$A98)*5+COUNTIF('Sprint W5'!$C$20:$C$24,$A98)*4+COUNTIF('Sprint W5'!$D$20:$D$24,$A98)*3+COUNTIF('Sprint W5'!$E$20:$E$24,$A98)*2+COUNTIF('Sprint W5'!$F$20:$F$24,$A98)*1)</f>
        <v>0</v>
      </c>
      <c r="H98" s="25" t="str">
        <f t="shared" si="4"/>
        <v/>
      </c>
      <c r="I98" s="26" t="str">
        <f t="shared" si="5"/>
        <v/>
      </c>
      <c r="AA98">
        <f>'Sprint W4'!D24</f>
        <v>0</v>
      </c>
      <c r="AB98">
        <f>IF(AA98="",0,IF(COUNTIF($AA$1:AA98,AA98)=1,1,0))</f>
        <v>0</v>
      </c>
      <c r="AC98" t="str">
        <f>IF(AB98=1,COUNTIF($AB$1:AB98,1),"")</f>
        <v/>
      </c>
    </row>
    <row r="99" spans="1:29" x14ac:dyDescent="0.25">
      <c r="A99" s="13" t="str">
        <f>IFERROR(INDEX($AA$1:$AA$125,MATCH(96,$AC$1:$AC$125,0)),"")</f>
        <v/>
      </c>
      <c r="B99" s="33"/>
      <c r="C99" s="15">
        <f>IF($A99="",0,COUNTIF('Sprint W1'!$B$20:$B$24,$A99)*5+COUNTIF('Sprint W1'!$C$20:$C$24,$A99)*4+COUNTIF('Sprint W1'!$D$20:$D$24,$A99)*3+COUNTIF('Sprint W1'!$E$20:$E$24,$A99)*2+COUNTIF('Sprint W1'!$F$20:$F$24,$A99)*1)</f>
        <v>0</v>
      </c>
      <c r="D99" s="15">
        <f>IF($A99="",0,COUNTIF('Sprint W2'!$B$20:$B$24,$A99)*5+COUNTIF('Sprint W2'!$C$20:$C$24,$A99)*4+COUNTIF('Sprint W2'!$D$20:$D$24,$A99)*3+COUNTIF('Sprint W2'!$E$20:$E$24,$A99)*2+COUNTIF('Sprint W2'!$F$20:$F$24,$A99)*1)</f>
        <v>0</v>
      </c>
      <c r="E99" s="15">
        <f>IF($A99="",0,COUNTIF('Sprint W3'!$B$20:$B$24,$A99)*5+COUNTIF('Sprint W3'!$C$20:$C$24,$A99)*4+COUNTIF('Sprint W3'!$D$20:$D$24,$A99)*3+COUNTIF('Sprint W3'!$E$20:$E$24,$A99)*2+COUNTIF('Sprint W3'!$F$20:$F$24,$A99)*1)</f>
        <v>0</v>
      </c>
      <c r="F99" s="15">
        <f>IF($A99="",0,COUNTIF('Sprint W4'!$B$20:$B$24,$A99)*5+COUNTIF('Sprint W4'!$C$20:$C$24,$A99)*4+COUNTIF('Sprint W4'!$D$20:$D$24,$A99)*3+COUNTIF('Sprint W4'!$E$20:$E$24,$A99)*2+COUNTIF('Sprint W4'!$F$20:$F$24,$A99)*1)</f>
        <v>0</v>
      </c>
      <c r="G99" s="15">
        <f>IF($A99="",0,COUNTIF('Sprint W5'!$B$20:$B$24,$A99)*5+COUNTIF('Sprint W5'!$C$20:$C$24,$A99)*4+COUNTIF('Sprint W5'!$D$20:$D$24,$A99)*3+COUNTIF('Sprint W5'!$E$20:$E$24,$A99)*2+COUNTIF('Sprint W5'!$F$20:$F$24,$A99)*1)</f>
        <v>0</v>
      </c>
      <c r="H99" s="25" t="str">
        <f t="shared" si="4"/>
        <v/>
      </c>
      <c r="I99" s="26" t="str">
        <f t="shared" si="5"/>
        <v/>
      </c>
      <c r="AA99">
        <f>'Sprint W4'!E24</f>
        <v>0</v>
      </c>
      <c r="AB99">
        <f>IF(AA99="",0,IF(COUNTIF($AA$1:AA99,AA99)=1,1,0))</f>
        <v>0</v>
      </c>
      <c r="AC99" t="str">
        <f>IF(AB99=1,COUNTIF($AB$1:AB99,1),"")</f>
        <v/>
      </c>
    </row>
    <row r="100" spans="1:29" x14ac:dyDescent="0.25">
      <c r="A100" s="13" t="str">
        <f>IFERROR(INDEX($AA$1:$AA$125,MATCH(97,$AC$1:$AC$125,0)),"")</f>
        <v/>
      </c>
      <c r="B100" s="33"/>
      <c r="C100" s="15">
        <f>IF($A100="",0,COUNTIF('Sprint W1'!$B$20:$B$24,$A100)*5+COUNTIF('Sprint W1'!$C$20:$C$24,$A100)*4+COUNTIF('Sprint W1'!$D$20:$D$24,$A100)*3+COUNTIF('Sprint W1'!$E$20:$E$24,$A100)*2+COUNTIF('Sprint W1'!$F$20:$F$24,$A100)*1)</f>
        <v>0</v>
      </c>
      <c r="D100" s="15">
        <f>IF($A100="",0,COUNTIF('Sprint W2'!$B$20:$B$24,$A100)*5+COUNTIF('Sprint W2'!$C$20:$C$24,$A100)*4+COUNTIF('Sprint W2'!$D$20:$D$24,$A100)*3+COUNTIF('Sprint W2'!$E$20:$E$24,$A100)*2+COUNTIF('Sprint W2'!$F$20:$F$24,$A100)*1)</f>
        <v>0</v>
      </c>
      <c r="E100" s="15">
        <f>IF($A100="",0,COUNTIF('Sprint W3'!$B$20:$B$24,$A100)*5+COUNTIF('Sprint W3'!$C$20:$C$24,$A100)*4+COUNTIF('Sprint W3'!$D$20:$D$24,$A100)*3+COUNTIF('Sprint W3'!$E$20:$E$24,$A100)*2+COUNTIF('Sprint W3'!$F$20:$F$24,$A100)*1)</f>
        <v>0</v>
      </c>
      <c r="F100" s="15">
        <f>IF($A100="",0,COUNTIF('Sprint W4'!$B$20:$B$24,$A100)*5+COUNTIF('Sprint W4'!$C$20:$C$24,$A100)*4+COUNTIF('Sprint W4'!$D$20:$D$24,$A100)*3+COUNTIF('Sprint W4'!$E$20:$E$24,$A100)*2+COUNTIF('Sprint W4'!$F$20:$F$24,$A100)*1)</f>
        <v>0</v>
      </c>
      <c r="G100" s="15">
        <f>IF($A100="",0,COUNTIF('Sprint W5'!$B$20:$B$24,$A100)*5+COUNTIF('Sprint W5'!$C$20:$C$24,$A100)*4+COUNTIF('Sprint W5'!$D$20:$D$24,$A100)*3+COUNTIF('Sprint W5'!$E$20:$E$24,$A100)*2+COUNTIF('Sprint W5'!$F$20:$F$24,$A100)*1)</f>
        <v>0</v>
      </c>
      <c r="H100" s="25" t="str">
        <f t="shared" ref="H100:H103" si="6">IF($A100="","",C100+D100+E100+F100+G100)</f>
        <v/>
      </c>
      <c r="I100" s="26" t="str">
        <f t="shared" ref="I100:I103" si="7">IF(OR($A100="",H100="",H100=0),"",RANK(H100,$H$4:$H$103,0))</f>
        <v/>
      </c>
      <c r="AA100">
        <f>'Sprint W4'!F24</f>
        <v>0</v>
      </c>
      <c r="AB100">
        <f>IF(AA100="",0,IF(COUNTIF($AA$1:AA100,AA100)=1,1,0))</f>
        <v>0</v>
      </c>
      <c r="AC100" t="str">
        <f>IF(AB100=1,COUNTIF($AB$1:AB100,1),"")</f>
        <v/>
      </c>
    </row>
    <row r="101" spans="1:29" x14ac:dyDescent="0.25">
      <c r="A101" s="13" t="str">
        <f>IFERROR(INDEX($AA$1:$AA$125,MATCH(98,$AC$1:$AC$125,0)),"")</f>
        <v/>
      </c>
      <c r="B101" s="33"/>
      <c r="C101" s="15">
        <f>IF($A101="",0,COUNTIF('Sprint W1'!$B$20:$B$24,$A101)*5+COUNTIF('Sprint W1'!$C$20:$C$24,$A101)*4+COUNTIF('Sprint W1'!$D$20:$D$24,$A101)*3+COUNTIF('Sprint W1'!$E$20:$E$24,$A101)*2+COUNTIF('Sprint W1'!$F$20:$F$24,$A101)*1)</f>
        <v>0</v>
      </c>
      <c r="D101" s="15">
        <f>IF($A101="",0,COUNTIF('Sprint W2'!$B$20:$B$24,$A101)*5+COUNTIF('Sprint W2'!$C$20:$C$24,$A101)*4+COUNTIF('Sprint W2'!$D$20:$D$24,$A101)*3+COUNTIF('Sprint W2'!$E$20:$E$24,$A101)*2+COUNTIF('Sprint W2'!$F$20:$F$24,$A101)*1)</f>
        <v>0</v>
      </c>
      <c r="E101" s="15">
        <f>IF($A101="",0,COUNTIF('Sprint W3'!$B$20:$B$24,$A101)*5+COUNTIF('Sprint W3'!$C$20:$C$24,$A101)*4+COUNTIF('Sprint W3'!$D$20:$D$24,$A101)*3+COUNTIF('Sprint W3'!$E$20:$E$24,$A101)*2+COUNTIF('Sprint W3'!$F$20:$F$24,$A101)*1)</f>
        <v>0</v>
      </c>
      <c r="F101" s="15">
        <f>IF($A101="",0,COUNTIF('Sprint W4'!$B$20:$B$24,$A101)*5+COUNTIF('Sprint W4'!$C$20:$C$24,$A101)*4+COUNTIF('Sprint W4'!$D$20:$D$24,$A101)*3+COUNTIF('Sprint W4'!$E$20:$E$24,$A101)*2+COUNTIF('Sprint W4'!$F$20:$F$24,$A101)*1)</f>
        <v>0</v>
      </c>
      <c r="G101" s="15">
        <f>IF($A101="",0,COUNTIF('Sprint W5'!$B$20:$B$24,$A101)*5+COUNTIF('Sprint W5'!$C$20:$C$24,$A101)*4+COUNTIF('Sprint W5'!$D$20:$D$24,$A101)*3+COUNTIF('Sprint W5'!$E$20:$E$24,$A101)*2+COUNTIF('Sprint W5'!$F$20:$F$24,$A101)*1)</f>
        <v>0</v>
      </c>
      <c r="H101" s="25" t="str">
        <f t="shared" si="6"/>
        <v/>
      </c>
      <c r="I101" s="26" t="str">
        <f t="shared" si="7"/>
        <v/>
      </c>
      <c r="AA101">
        <f>'Sprint W5'!B20</f>
        <v>0</v>
      </c>
      <c r="AB101">
        <f>IF(AA101="",0,IF(COUNTIF($AA$1:AA101,AA101)=1,1,0))</f>
        <v>0</v>
      </c>
      <c r="AC101" t="str">
        <f>IF(AB101=1,COUNTIF($AB$1:AB101,1),"")</f>
        <v/>
      </c>
    </row>
    <row r="102" spans="1:29" x14ac:dyDescent="0.25">
      <c r="A102" s="13" t="str">
        <f>IFERROR(INDEX($AA$1:$AA$125,MATCH(99,$AC$1:$AC$125,0)),"")</f>
        <v/>
      </c>
      <c r="B102" s="33"/>
      <c r="C102" s="15">
        <f>IF($A102="",0,COUNTIF('Sprint W1'!$B$20:$B$24,$A102)*5+COUNTIF('Sprint W1'!$C$20:$C$24,$A102)*4+COUNTIF('Sprint W1'!$D$20:$D$24,$A102)*3+COUNTIF('Sprint W1'!$E$20:$E$24,$A102)*2+COUNTIF('Sprint W1'!$F$20:$F$24,$A102)*1)</f>
        <v>0</v>
      </c>
      <c r="D102" s="15">
        <f>IF($A102="",0,COUNTIF('Sprint W2'!$B$20:$B$24,$A102)*5+COUNTIF('Sprint W2'!$C$20:$C$24,$A102)*4+COUNTIF('Sprint W2'!$D$20:$D$24,$A102)*3+COUNTIF('Sprint W2'!$E$20:$E$24,$A102)*2+COUNTIF('Sprint W2'!$F$20:$F$24,$A102)*1)</f>
        <v>0</v>
      </c>
      <c r="E102" s="15">
        <f>IF($A102="",0,COUNTIF('Sprint W3'!$B$20:$B$24,$A102)*5+COUNTIF('Sprint W3'!$C$20:$C$24,$A102)*4+COUNTIF('Sprint W3'!$D$20:$D$24,$A102)*3+COUNTIF('Sprint W3'!$E$20:$E$24,$A102)*2+COUNTIF('Sprint W3'!$F$20:$F$24,$A102)*1)</f>
        <v>0</v>
      </c>
      <c r="F102" s="15">
        <f>IF($A102="",0,COUNTIF('Sprint W4'!$B$20:$B$24,$A102)*5+COUNTIF('Sprint W4'!$C$20:$C$24,$A102)*4+COUNTIF('Sprint W4'!$D$20:$D$24,$A102)*3+COUNTIF('Sprint W4'!$E$20:$E$24,$A102)*2+COUNTIF('Sprint W4'!$F$20:$F$24,$A102)*1)</f>
        <v>0</v>
      </c>
      <c r="G102" s="15">
        <f>IF($A102="",0,COUNTIF('Sprint W5'!$B$20:$B$24,$A102)*5+COUNTIF('Sprint W5'!$C$20:$C$24,$A102)*4+COUNTIF('Sprint W5'!$D$20:$D$24,$A102)*3+COUNTIF('Sprint W5'!$E$20:$E$24,$A102)*2+COUNTIF('Sprint W5'!$F$20:$F$24,$A102)*1)</f>
        <v>0</v>
      </c>
      <c r="H102" s="25" t="str">
        <f t="shared" si="6"/>
        <v/>
      </c>
      <c r="I102" s="26" t="str">
        <f t="shared" si="7"/>
        <v/>
      </c>
      <c r="AA102">
        <f>'Sprint W5'!C20</f>
        <v>0</v>
      </c>
      <c r="AB102">
        <f>IF(AA102="",0,IF(COUNTIF($AA$1:AA102,AA102)=1,1,0))</f>
        <v>0</v>
      </c>
      <c r="AC102" t="str">
        <f>IF(AB102=1,COUNTIF($AB$1:AB102,1),"")</f>
        <v/>
      </c>
    </row>
    <row r="103" spans="1:29" x14ac:dyDescent="0.25">
      <c r="A103" s="13" t="str">
        <f>IFERROR(INDEX($AA$1:$AA$125,MATCH(100,$AC$1:$AC$125,0)),"")</f>
        <v/>
      </c>
      <c r="B103" s="33"/>
      <c r="C103" s="15">
        <f>IF($A103="",0,COUNTIF('Sprint W1'!$B$20:$B$24,$A103)*5+COUNTIF('Sprint W1'!$C$20:$C$24,$A103)*4+COUNTIF('Sprint W1'!$D$20:$D$24,$A103)*3+COUNTIF('Sprint W1'!$E$20:$E$24,$A103)*2+COUNTIF('Sprint W1'!$F$20:$F$24,$A103)*1)</f>
        <v>0</v>
      </c>
      <c r="D103" s="15">
        <f>IF($A103="",0,COUNTIF('Sprint W2'!$B$20:$B$24,$A103)*5+COUNTIF('Sprint W2'!$C$20:$C$24,$A103)*4+COUNTIF('Sprint W2'!$D$20:$D$24,$A103)*3+COUNTIF('Sprint W2'!$E$20:$E$24,$A103)*2+COUNTIF('Sprint W2'!$F$20:$F$24,$A103)*1)</f>
        <v>0</v>
      </c>
      <c r="E103" s="15">
        <f>IF($A103="",0,COUNTIF('Sprint W3'!$B$20:$B$24,$A103)*5+COUNTIF('Sprint W3'!$C$20:$C$24,$A103)*4+COUNTIF('Sprint W3'!$D$20:$D$24,$A103)*3+COUNTIF('Sprint W3'!$E$20:$E$24,$A103)*2+COUNTIF('Sprint W3'!$F$20:$F$24,$A103)*1)</f>
        <v>0</v>
      </c>
      <c r="F103" s="15">
        <f>IF($A103="",0,COUNTIF('Sprint W4'!$B$20:$B$24,$A103)*5+COUNTIF('Sprint W4'!$C$20:$C$24,$A103)*4+COUNTIF('Sprint W4'!$D$20:$D$24,$A103)*3+COUNTIF('Sprint W4'!$E$20:$E$24,$A103)*2+COUNTIF('Sprint W4'!$F$20:$F$24,$A103)*1)</f>
        <v>0</v>
      </c>
      <c r="G103" s="15">
        <f>IF($A103="",0,COUNTIF('Sprint W5'!$B$20:$B$24,$A103)*5+COUNTIF('Sprint W5'!$C$20:$C$24,$A103)*4+COUNTIF('Sprint W5'!$D$20:$D$24,$A103)*3+COUNTIF('Sprint W5'!$E$20:$E$24,$A103)*2+COUNTIF('Sprint W5'!$F$20:$F$24,$A103)*1)</f>
        <v>0</v>
      </c>
      <c r="H103" s="25" t="str">
        <f t="shared" si="6"/>
        <v/>
      </c>
      <c r="I103" s="26" t="str">
        <f t="shared" si="7"/>
        <v/>
      </c>
      <c r="AA103">
        <f>'Sprint W5'!D20</f>
        <v>0</v>
      </c>
      <c r="AB103">
        <f>IF(AA103="",0,IF(COUNTIF($AA$1:AA103,AA103)=1,1,0))</f>
        <v>0</v>
      </c>
      <c r="AC103" t="str">
        <f>IF(AB103=1,COUNTIF($AB$1:AB103,1),"")</f>
        <v/>
      </c>
    </row>
    <row r="104" spans="1:29" x14ac:dyDescent="0.25">
      <c r="AA104">
        <f>'Sprint W5'!E20</f>
        <v>0</v>
      </c>
      <c r="AB104">
        <f>IF(AA104="",0,IF(COUNTIF($AA$1:AA104,AA104)=1,1,0))</f>
        <v>0</v>
      </c>
      <c r="AC104" t="str">
        <f>IF(AB104=1,COUNTIF($AB$1:AB104,1),"")</f>
        <v/>
      </c>
    </row>
    <row r="105" spans="1:29" x14ac:dyDescent="0.25">
      <c r="AA105">
        <f>'Sprint W5'!F20</f>
        <v>0</v>
      </c>
      <c r="AB105">
        <f>IF(AA105="",0,IF(COUNTIF($AA$1:AA105,AA105)=1,1,0))</f>
        <v>0</v>
      </c>
      <c r="AC105" t="str">
        <f>IF(AB105=1,COUNTIF($AB$1:AB105,1),"")</f>
        <v/>
      </c>
    </row>
    <row r="106" spans="1:29" x14ac:dyDescent="0.25">
      <c r="AA106">
        <f>'Sprint W5'!B21</f>
        <v>0</v>
      </c>
      <c r="AB106">
        <f>IF(AA106="",0,IF(COUNTIF($AA$1:AA106,AA106)=1,1,0))</f>
        <v>0</v>
      </c>
      <c r="AC106" t="str">
        <f>IF(AB106=1,COUNTIF($AB$1:AB106,1),"")</f>
        <v/>
      </c>
    </row>
    <row r="107" spans="1:29" x14ac:dyDescent="0.25">
      <c r="AA107">
        <f>'Sprint W5'!C21</f>
        <v>0</v>
      </c>
      <c r="AB107">
        <f>IF(AA107="",0,IF(COUNTIF($AA$1:AA107,AA107)=1,1,0))</f>
        <v>0</v>
      </c>
      <c r="AC107" t="str">
        <f>IF(AB107=1,COUNTIF($AB$1:AB107,1),"")</f>
        <v/>
      </c>
    </row>
    <row r="108" spans="1:29" x14ac:dyDescent="0.25">
      <c r="AA108">
        <f>'Sprint W5'!D21</f>
        <v>0</v>
      </c>
      <c r="AB108">
        <f>IF(AA108="",0,IF(COUNTIF($AA$1:AA108,AA108)=1,1,0))</f>
        <v>0</v>
      </c>
      <c r="AC108" t="str">
        <f>IF(AB108=1,COUNTIF($AB$1:AB108,1),"")</f>
        <v/>
      </c>
    </row>
    <row r="109" spans="1:29" x14ac:dyDescent="0.25">
      <c r="AA109">
        <f>'Sprint W5'!E21</f>
        <v>0</v>
      </c>
      <c r="AB109">
        <f>IF(AA109="",0,IF(COUNTIF($AA$1:AA109,AA109)=1,1,0))</f>
        <v>0</v>
      </c>
      <c r="AC109" t="str">
        <f>IF(AB109=1,COUNTIF($AB$1:AB109,1),"")</f>
        <v/>
      </c>
    </row>
    <row r="110" spans="1:29" x14ac:dyDescent="0.25">
      <c r="AA110">
        <f>'Sprint W5'!F21</f>
        <v>0</v>
      </c>
      <c r="AB110">
        <f>IF(AA110="",0,IF(COUNTIF($AA$1:AA110,AA110)=1,1,0))</f>
        <v>0</v>
      </c>
      <c r="AC110" t="str">
        <f>IF(AB110=1,COUNTIF($AB$1:AB110,1),"")</f>
        <v/>
      </c>
    </row>
    <row r="111" spans="1:29" x14ac:dyDescent="0.25">
      <c r="AA111">
        <f>'Sprint W5'!B22</f>
        <v>0</v>
      </c>
      <c r="AB111">
        <f>IF(AA111="",0,IF(COUNTIF($AA$1:AA111,AA111)=1,1,0))</f>
        <v>0</v>
      </c>
      <c r="AC111" t="str">
        <f>IF(AB111=1,COUNTIF($AB$1:AB111,1),"")</f>
        <v/>
      </c>
    </row>
    <row r="112" spans="1:29" x14ac:dyDescent="0.25">
      <c r="AA112">
        <f>'Sprint W5'!C22</f>
        <v>0</v>
      </c>
      <c r="AB112">
        <f>IF(AA112="",0,IF(COUNTIF($AA$1:AA112,AA112)=1,1,0))</f>
        <v>0</v>
      </c>
      <c r="AC112" t="str">
        <f>IF(AB112=1,COUNTIF($AB$1:AB112,1),"")</f>
        <v/>
      </c>
    </row>
    <row r="113" spans="27:29" x14ac:dyDescent="0.25">
      <c r="AA113">
        <f>'Sprint W5'!D22</f>
        <v>0</v>
      </c>
      <c r="AB113">
        <f>IF(AA113="",0,IF(COUNTIF($AA$1:AA113,AA113)=1,1,0))</f>
        <v>0</v>
      </c>
      <c r="AC113" t="str">
        <f>IF(AB113=1,COUNTIF($AB$1:AB113,1),"")</f>
        <v/>
      </c>
    </row>
    <row r="114" spans="27:29" x14ac:dyDescent="0.25">
      <c r="AA114">
        <f>'Sprint W5'!E22</f>
        <v>0</v>
      </c>
      <c r="AB114">
        <f>IF(AA114="",0,IF(COUNTIF($AA$1:AA114,AA114)=1,1,0))</f>
        <v>0</v>
      </c>
      <c r="AC114" t="str">
        <f>IF(AB114=1,COUNTIF($AB$1:AB114,1),"")</f>
        <v/>
      </c>
    </row>
    <row r="115" spans="27:29" x14ac:dyDescent="0.25">
      <c r="AA115">
        <f>'Sprint W5'!F22</f>
        <v>0</v>
      </c>
      <c r="AB115">
        <f>IF(AA115="",0,IF(COUNTIF($AA$1:AA115,AA115)=1,1,0))</f>
        <v>0</v>
      </c>
      <c r="AC115" t="str">
        <f>IF(AB115=1,COUNTIF($AB$1:AB115,1),"")</f>
        <v/>
      </c>
    </row>
    <row r="116" spans="27:29" x14ac:dyDescent="0.25">
      <c r="AA116">
        <f>'Sprint W5'!B23</f>
        <v>0</v>
      </c>
      <c r="AB116">
        <f>IF(AA116="",0,IF(COUNTIF($AA$1:AA116,AA116)=1,1,0))</f>
        <v>0</v>
      </c>
      <c r="AC116" t="str">
        <f>IF(AB116=1,COUNTIF($AB$1:AB116,1),"")</f>
        <v/>
      </c>
    </row>
    <row r="117" spans="27:29" x14ac:dyDescent="0.25">
      <c r="AA117">
        <f>'Sprint W5'!C23</f>
        <v>0</v>
      </c>
      <c r="AB117">
        <f>IF(AA117="",0,IF(COUNTIF($AA$1:AA117,AA117)=1,1,0))</f>
        <v>0</v>
      </c>
      <c r="AC117" t="str">
        <f>IF(AB117=1,COUNTIF($AB$1:AB117,1),"")</f>
        <v/>
      </c>
    </row>
    <row r="118" spans="27:29" x14ac:dyDescent="0.25">
      <c r="AA118">
        <f>'Sprint W5'!D23</f>
        <v>0</v>
      </c>
      <c r="AB118">
        <f>IF(AA118="",0,IF(COUNTIF($AA$1:AA118,AA118)=1,1,0))</f>
        <v>0</v>
      </c>
      <c r="AC118" t="str">
        <f>IF(AB118=1,COUNTIF($AB$1:AB118,1),"")</f>
        <v/>
      </c>
    </row>
    <row r="119" spans="27:29" x14ac:dyDescent="0.25">
      <c r="AA119">
        <f>'Sprint W5'!E23</f>
        <v>0</v>
      </c>
      <c r="AB119">
        <f>IF(AA119="",0,IF(COUNTIF($AA$1:AA119,AA119)=1,1,0))</f>
        <v>0</v>
      </c>
      <c r="AC119" t="str">
        <f>IF(AB119=1,COUNTIF($AB$1:AB119,1),"")</f>
        <v/>
      </c>
    </row>
    <row r="120" spans="27:29" x14ac:dyDescent="0.25">
      <c r="AA120">
        <f>'Sprint W5'!F23</f>
        <v>0</v>
      </c>
      <c r="AB120">
        <f>IF(AA120="",0,IF(COUNTIF($AA$1:AA120,AA120)=1,1,0))</f>
        <v>0</v>
      </c>
      <c r="AC120" t="str">
        <f>IF(AB120=1,COUNTIF($AB$1:AB120,1),"")</f>
        <v/>
      </c>
    </row>
    <row r="121" spans="27:29" x14ac:dyDescent="0.25">
      <c r="AA121">
        <f>'Sprint W5'!B24</f>
        <v>0</v>
      </c>
      <c r="AB121">
        <f>IF(AA121="",0,IF(COUNTIF($AA$1:AA121,AA121)=1,1,0))</f>
        <v>0</v>
      </c>
      <c r="AC121" t="str">
        <f>IF(AB121=1,COUNTIF($AB$1:AB121,1),"")</f>
        <v/>
      </c>
    </row>
    <row r="122" spans="27:29" x14ac:dyDescent="0.25">
      <c r="AA122">
        <f>'Sprint W5'!C24</f>
        <v>0</v>
      </c>
      <c r="AB122">
        <f>IF(AA122="",0,IF(COUNTIF($AA$1:AA122,AA122)=1,1,0))</f>
        <v>0</v>
      </c>
      <c r="AC122" t="str">
        <f>IF(AB122=1,COUNTIF($AB$1:AB122,1),"")</f>
        <v/>
      </c>
    </row>
    <row r="123" spans="27:29" x14ac:dyDescent="0.25">
      <c r="AA123">
        <f>'Sprint W5'!D24</f>
        <v>0</v>
      </c>
      <c r="AB123">
        <f>IF(AA123="",0,IF(COUNTIF($AA$1:AA123,AA123)=1,1,0))</f>
        <v>0</v>
      </c>
      <c r="AC123" t="str">
        <f>IF(AB123=1,COUNTIF($AB$1:AB123,1),"")</f>
        <v/>
      </c>
    </row>
    <row r="124" spans="27:29" x14ac:dyDescent="0.25">
      <c r="AA124">
        <f>'Sprint W5'!E24</f>
        <v>0</v>
      </c>
      <c r="AB124">
        <f>IF(AA124="",0,IF(COUNTIF($AA$1:AA124,AA124)=1,1,0))</f>
        <v>0</v>
      </c>
      <c r="AC124" t="str">
        <f>IF(AB124=1,COUNTIF($AB$1:AB124,1),"")</f>
        <v/>
      </c>
    </row>
    <row r="125" spans="27:29" x14ac:dyDescent="0.25">
      <c r="AA125">
        <f>'Sprint W5'!F24</f>
        <v>0</v>
      </c>
      <c r="AB125">
        <f>IF(AA125="",0,IF(COUNTIF($AA$1:AA125,AA125)=1,1,0))</f>
        <v>0</v>
      </c>
      <c r="AC125" t="str">
        <f>IF(AB125=1,COUNTIF($AB$1:AB125,1),"")</f>
        <v/>
      </c>
    </row>
  </sheetData>
  <autoFilter ref="A3:I103" xr:uid="{00000000-0009-0000-0000-000011000000}"/>
  <sortState xmlns:xlrd2="http://schemas.microsoft.com/office/spreadsheetml/2017/richdata2" ref="A4:I125">
    <sortCondition ref="I3:I125"/>
  </sortState>
  <mergeCells count="2">
    <mergeCell ref="A1:I1"/>
    <mergeCell ref="A2:I2"/>
  </mergeCells>
  <pageMargins left="0.75" right="0.75" top="1" bottom="1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34"/>
  <sheetViews>
    <sheetView zoomScaleNormal="100" workbookViewId="0">
      <selection activeCell="F17" sqref="F17"/>
    </sheetView>
  </sheetViews>
  <sheetFormatPr defaultColWidth="8.7109375" defaultRowHeight="15" x14ac:dyDescent="0.25"/>
  <cols>
    <col min="1" max="1" width="12" customWidth="1"/>
    <col min="2" max="3" width="20" customWidth="1"/>
  </cols>
  <sheetData>
    <row r="1" spans="1:3" x14ac:dyDescent="0.25">
      <c r="A1" s="11" t="s">
        <v>25</v>
      </c>
      <c r="B1" s="11" t="s">
        <v>185</v>
      </c>
      <c r="C1" s="11" t="s">
        <v>186</v>
      </c>
    </row>
    <row r="2" spans="1:3" x14ac:dyDescent="0.25">
      <c r="A2" s="15">
        <v>1</v>
      </c>
      <c r="B2" s="15">
        <v>100.1</v>
      </c>
      <c r="C2" s="15">
        <v>30</v>
      </c>
    </row>
    <row r="3" spans="1:3" x14ac:dyDescent="0.25">
      <c r="A3" s="15">
        <v>2</v>
      </c>
      <c r="B3" s="15">
        <v>90</v>
      </c>
      <c r="C3" s="15">
        <v>25</v>
      </c>
    </row>
    <row r="4" spans="1:3" x14ac:dyDescent="0.25">
      <c r="A4" s="15">
        <v>3</v>
      </c>
      <c r="B4" s="15">
        <v>85</v>
      </c>
      <c r="C4" s="15">
        <v>20</v>
      </c>
    </row>
    <row r="5" spans="1:3" x14ac:dyDescent="0.25">
      <c r="A5" s="15">
        <v>4</v>
      </c>
      <c r="B5" s="15">
        <v>80</v>
      </c>
      <c r="C5" s="15">
        <v>17</v>
      </c>
    </row>
    <row r="6" spans="1:3" x14ac:dyDescent="0.25">
      <c r="A6" s="15">
        <v>5</v>
      </c>
      <c r="B6" s="15">
        <v>75</v>
      </c>
      <c r="C6" s="15">
        <v>14</v>
      </c>
    </row>
    <row r="7" spans="1:3" x14ac:dyDescent="0.25">
      <c r="A7" s="15">
        <v>6</v>
      </c>
      <c r="B7" s="15">
        <v>70</v>
      </c>
      <c r="C7" s="15">
        <v>12</v>
      </c>
    </row>
    <row r="8" spans="1:3" x14ac:dyDescent="0.25">
      <c r="A8" s="15">
        <v>7</v>
      </c>
      <c r="B8" s="15">
        <v>66</v>
      </c>
      <c r="C8" s="15">
        <v>10</v>
      </c>
    </row>
    <row r="9" spans="1:3" x14ac:dyDescent="0.25">
      <c r="A9" s="15">
        <v>8</v>
      </c>
      <c r="B9" s="15">
        <v>62</v>
      </c>
      <c r="C9" s="15">
        <v>9</v>
      </c>
    </row>
    <row r="10" spans="1:3" x14ac:dyDescent="0.25">
      <c r="A10" s="15">
        <v>9</v>
      </c>
      <c r="B10" s="15">
        <v>58</v>
      </c>
      <c r="C10" s="15">
        <v>6</v>
      </c>
    </row>
    <row r="11" spans="1:3" x14ac:dyDescent="0.25">
      <c r="A11" s="15">
        <v>10</v>
      </c>
      <c r="B11" s="15">
        <v>54</v>
      </c>
      <c r="C11" s="15">
        <v>4</v>
      </c>
    </row>
    <row r="12" spans="1:3" x14ac:dyDescent="0.25">
      <c r="A12" s="15">
        <v>11</v>
      </c>
      <c r="B12" s="15">
        <v>50</v>
      </c>
      <c r="C12" s="15">
        <v>2</v>
      </c>
    </row>
    <row r="13" spans="1:3" x14ac:dyDescent="0.25">
      <c r="A13" s="15">
        <v>12</v>
      </c>
      <c r="B13" s="15">
        <v>47</v>
      </c>
      <c r="C13" s="15">
        <v>1</v>
      </c>
    </row>
    <row r="14" spans="1:3" x14ac:dyDescent="0.25">
      <c r="A14" s="15">
        <v>13</v>
      </c>
      <c r="B14" s="15">
        <v>44</v>
      </c>
      <c r="C14" s="15">
        <v>1</v>
      </c>
    </row>
    <row r="15" spans="1:3" x14ac:dyDescent="0.25">
      <c r="A15" s="15">
        <v>14</v>
      </c>
      <c r="B15" s="15">
        <v>41</v>
      </c>
      <c r="C15" s="15">
        <v>1</v>
      </c>
    </row>
    <row r="16" spans="1:3" x14ac:dyDescent="0.25">
      <c r="A16" s="15">
        <v>15</v>
      </c>
      <c r="B16" s="15">
        <v>38</v>
      </c>
      <c r="C16" s="15">
        <v>1</v>
      </c>
    </row>
    <row r="17" spans="1:3" x14ac:dyDescent="0.25">
      <c r="A17" s="15">
        <v>16</v>
      </c>
      <c r="B17" s="15">
        <v>35</v>
      </c>
      <c r="C17" s="15">
        <v>1</v>
      </c>
    </row>
    <row r="18" spans="1:3" x14ac:dyDescent="0.25">
      <c r="A18" s="15">
        <v>17</v>
      </c>
      <c r="B18" s="15">
        <v>32</v>
      </c>
      <c r="C18" s="15">
        <v>1</v>
      </c>
    </row>
    <row r="19" spans="1:3" x14ac:dyDescent="0.25">
      <c r="A19" s="15">
        <v>18</v>
      </c>
      <c r="B19" s="15">
        <v>29</v>
      </c>
      <c r="C19" s="15">
        <v>1</v>
      </c>
    </row>
    <row r="20" spans="1:3" x14ac:dyDescent="0.25">
      <c r="A20" s="15">
        <v>19</v>
      </c>
      <c r="B20" s="15">
        <v>26</v>
      </c>
      <c r="C20" s="15">
        <v>1</v>
      </c>
    </row>
    <row r="21" spans="1:3" x14ac:dyDescent="0.25">
      <c r="A21" s="15">
        <v>20</v>
      </c>
      <c r="B21" s="15">
        <v>24</v>
      </c>
      <c r="C21" s="15">
        <v>1</v>
      </c>
    </row>
    <row r="22" spans="1:3" x14ac:dyDescent="0.25">
      <c r="A22" s="15">
        <v>21</v>
      </c>
      <c r="B22" s="15">
        <v>22</v>
      </c>
      <c r="C22" s="15">
        <v>1</v>
      </c>
    </row>
    <row r="23" spans="1:3" x14ac:dyDescent="0.25">
      <c r="A23" s="15">
        <v>22</v>
      </c>
      <c r="B23" s="15">
        <v>20</v>
      </c>
      <c r="C23" s="15">
        <v>1</v>
      </c>
    </row>
    <row r="24" spans="1:3" x14ac:dyDescent="0.25">
      <c r="A24" s="15">
        <v>23</v>
      </c>
      <c r="B24" s="15">
        <v>16</v>
      </c>
      <c r="C24" s="15">
        <v>1</v>
      </c>
    </row>
    <row r="25" spans="1:3" x14ac:dyDescent="0.25">
      <c r="A25" s="15">
        <v>24</v>
      </c>
      <c r="B25" s="15">
        <v>14</v>
      </c>
      <c r="C25" s="15">
        <v>1</v>
      </c>
    </row>
    <row r="26" spans="1:3" x14ac:dyDescent="0.25">
      <c r="A26" s="15">
        <v>25</v>
      </c>
      <c r="B26" s="15">
        <v>12</v>
      </c>
      <c r="C26" s="15">
        <v>1</v>
      </c>
    </row>
    <row r="27" spans="1:3" x14ac:dyDescent="0.25">
      <c r="A27" s="15">
        <v>26</v>
      </c>
      <c r="B27" s="15">
        <v>10</v>
      </c>
      <c r="C27" s="15">
        <v>1</v>
      </c>
    </row>
    <row r="28" spans="1:3" x14ac:dyDescent="0.25">
      <c r="A28" s="15">
        <v>27</v>
      </c>
      <c r="B28" s="15">
        <v>8</v>
      </c>
      <c r="C28" s="15">
        <v>1</v>
      </c>
    </row>
    <row r="29" spans="1:3" x14ac:dyDescent="0.25">
      <c r="A29" s="15">
        <v>28</v>
      </c>
      <c r="B29" s="15">
        <v>6</v>
      </c>
      <c r="C29" s="15">
        <v>1</v>
      </c>
    </row>
    <row r="30" spans="1:3" x14ac:dyDescent="0.25">
      <c r="A30" s="15">
        <v>29</v>
      </c>
      <c r="B30" s="15">
        <v>4</v>
      </c>
      <c r="C30" s="15">
        <v>1</v>
      </c>
    </row>
    <row r="31" spans="1:3" x14ac:dyDescent="0.25">
      <c r="A31" s="15">
        <v>30</v>
      </c>
      <c r="B31" s="15">
        <v>2</v>
      </c>
      <c r="C31" s="15">
        <v>1</v>
      </c>
    </row>
    <row r="32" spans="1:3" x14ac:dyDescent="0.25">
      <c r="A32" s="15" t="s">
        <v>187</v>
      </c>
      <c r="B32" s="15">
        <v>1</v>
      </c>
      <c r="C32" s="15">
        <v>1</v>
      </c>
    </row>
    <row r="33" spans="1:3" x14ac:dyDescent="0.25">
      <c r="A33" s="15" t="s">
        <v>65</v>
      </c>
      <c r="B33" s="15">
        <v>1</v>
      </c>
      <c r="C33" s="15">
        <v>1</v>
      </c>
    </row>
    <row r="34" spans="1:3" x14ac:dyDescent="0.25">
      <c r="A34" s="15" t="s">
        <v>188</v>
      </c>
      <c r="B34" s="15">
        <v>0</v>
      </c>
      <c r="C34" s="15">
        <v>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9"/>
  <sheetViews>
    <sheetView zoomScaleNormal="100" workbookViewId="0">
      <pane ySplit="1" topLeftCell="A2" activePane="bottomLeft" state="frozen"/>
      <selection pane="bottomLeft" activeCell="A69" sqref="A69"/>
    </sheetView>
  </sheetViews>
  <sheetFormatPr defaultColWidth="8.7109375" defaultRowHeight="15" x14ac:dyDescent="0.25"/>
  <cols>
    <col min="1" max="1" width="10" customWidth="1"/>
    <col min="2" max="2" width="14" customWidth="1"/>
    <col min="3" max="3" width="28" customWidth="1"/>
    <col min="4" max="4" width="20" customWidth="1"/>
    <col min="5" max="5" width="28" customWidth="1"/>
    <col min="6" max="6" width="14" customWidth="1"/>
    <col min="7" max="8" width="12" customWidth="1"/>
  </cols>
  <sheetData>
    <row r="1" spans="1:8" ht="18" customHeight="1" x14ac:dyDescent="0.25">
      <c r="A1" s="44" t="s">
        <v>21</v>
      </c>
      <c r="B1" s="44"/>
      <c r="C1" s="44"/>
      <c r="D1" s="44"/>
      <c r="E1" s="44"/>
      <c r="F1" s="44"/>
      <c r="G1" s="44"/>
      <c r="H1" s="44"/>
    </row>
    <row r="2" spans="1:8" ht="16.5" customHeight="1" x14ac:dyDescent="0.25">
      <c r="A2" s="7" t="s">
        <v>22</v>
      </c>
      <c r="B2" s="8"/>
      <c r="C2" s="8"/>
      <c r="D2" s="8"/>
      <c r="E2" s="8"/>
      <c r="F2" s="8"/>
      <c r="G2" s="9" t="s">
        <v>23</v>
      </c>
      <c r="H2" s="10" t="s">
        <v>24</v>
      </c>
    </row>
    <row r="3" spans="1:8" x14ac:dyDescent="0.25">
      <c r="A3" s="11" t="s">
        <v>25</v>
      </c>
      <c r="B3" s="11" t="s">
        <v>26</v>
      </c>
      <c r="C3" s="11" t="s">
        <v>27</v>
      </c>
      <c r="D3" s="11" t="s">
        <v>28</v>
      </c>
      <c r="E3" s="11" t="s">
        <v>29</v>
      </c>
      <c r="F3" s="11" t="s">
        <v>30</v>
      </c>
      <c r="G3" s="11" t="s">
        <v>31</v>
      </c>
      <c r="H3" s="11" t="s">
        <v>32</v>
      </c>
    </row>
    <row r="4" spans="1:8" x14ac:dyDescent="0.25">
      <c r="A4" s="12">
        <v>1</v>
      </c>
      <c r="B4" s="13"/>
      <c r="C4" s="14" t="s">
        <v>33</v>
      </c>
      <c r="D4" s="14" t="s">
        <v>34</v>
      </c>
      <c r="E4" s="13"/>
      <c r="F4" s="15"/>
      <c r="G4" s="15"/>
      <c r="H4" s="16">
        <f>IF(C4="",0,IF(OR(A4="",A4="DNS"),0,IF(A4="DNF",1,IF(ISNUMBER(A4),IF($H$2="J",IF(A4&lt;=11,VLOOKUP(A4,Punten!$A$2:$C$31,3,FALSE()),1),IF(A4&lt;=30,VLOOKUP(A4,Punten!$A$2:$C$31,2,FALSE()),1)),0))))</f>
        <v>100.1</v>
      </c>
    </row>
    <row r="5" spans="1:8" x14ac:dyDescent="0.25">
      <c r="A5" s="12">
        <v>2</v>
      </c>
      <c r="B5" s="13"/>
      <c r="C5" s="14" t="s">
        <v>35</v>
      </c>
      <c r="D5" s="14" t="s">
        <v>34</v>
      </c>
      <c r="E5" s="13"/>
      <c r="F5" s="15"/>
      <c r="G5" s="15"/>
      <c r="H5" s="16">
        <f>IF(C5="",0,IF(OR(A5="",A5="DNS"),0,IF(A5="DNF",1,IF(ISNUMBER(A5),IF($H$2="J",IF(A5&lt;=11,VLOOKUP(A5,Punten!$A$2:$C$31,3,FALSE()),1),IF(A5&lt;=30,VLOOKUP(A5,Punten!$A$2:$C$31,2,FALSE()),1)),0))))</f>
        <v>90</v>
      </c>
    </row>
    <row r="6" spans="1:8" x14ac:dyDescent="0.25">
      <c r="A6" s="12">
        <v>3</v>
      </c>
      <c r="B6" s="13"/>
      <c r="C6" s="14" t="s">
        <v>36</v>
      </c>
      <c r="D6" s="14" t="s">
        <v>34</v>
      </c>
      <c r="E6" s="13"/>
      <c r="F6" s="15"/>
      <c r="G6" s="15"/>
      <c r="H6" s="16">
        <f>IF(C6="",0,IF(OR(A6="",A6="DNS"),0,IF(A6="DNF",1,IF(ISNUMBER(A6),IF($H$2="J",IF(A6&lt;=11,VLOOKUP(A6,Punten!$A$2:$C$31,3,FALSE()),1),IF(A6&lt;=30,VLOOKUP(A6,Punten!$A$2:$C$31,2,FALSE()),1)),0))))</f>
        <v>85</v>
      </c>
    </row>
    <row r="7" spans="1:8" x14ac:dyDescent="0.25">
      <c r="A7" s="12">
        <v>4</v>
      </c>
      <c r="B7" s="13"/>
      <c r="C7" s="14" t="s">
        <v>37</v>
      </c>
      <c r="D7" s="14" t="s">
        <v>34</v>
      </c>
      <c r="E7" s="13"/>
      <c r="F7" s="15"/>
      <c r="G7" s="15"/>
      <c r="H7" s="16">
        <f>IF(C7="",0,IF(OR(A7="",A7="DNS"),0,IF(A7="DNF",1,IF(ISNUMBER(A7),IF($H$2="J",IF(A7&lt;=11,VLOOKUP(A7,Punten!$A$2:$C$31,3,FALSE()),1),IF(A7&lt;=30,VLOOKUP(A7,Punten!$A$2:$C$31,2,FALSE()),1)),0))))</f>
        <v>80</v>
      </c>
    </row>
    <row r="8" spans="1:8" x14ac:dyDescent="0.25">
      <c r="A8" s="12">
        <v>5</v>
      </c>
      <c r="B8" s="13"/>
      <c r="C8" s="14" t="s">
        <v>38</v>
      </c>
      <c r="D8" s="14" t="s">
        <v>34</v>
      </c>
      <c r="E8" s="13"/>
      <c r="F8" s="15"/>
      <c r="G8" s="15"/>
      <c r="H8" s="16">
        <f>IF(C8="",0,IF(OR(A8="",A8="DNS"),0,IF(A8="DNF",1,IF(ISNUMBER(A8),IF($H$2="J",IF(A8&lt;=11,VLOOKUP(A8,Punten!$A$2:$C$31,3,FALSE()),1),IF(A8&lt;=30,VLOOKUP(A8,Punten!$A$2:$C$31,2,FALSE()),1)),0))))</f>
        <v>75</v>
      </c>
    </row>
    <row r="9" spans="1:8" x14ac:dyDescent="0.25">
      <c r="A9" s="12">
        <v>6</v>
      </c>
      <c r="B9" s="13"/>
      <c r="C9" s="14" t="s">
        <v>39</v>
      </c>
      <c r="D9" s="14" t="s">
        <v>34</v>
      </c>
      <c r="E9" s="13"/>
      <c r="F9" s="15"/>
      <c r="G9" s="15"/>
      <c r="H9" s="16">
        <f>IF(C9="",0,IF(OR(A9="",A9="DNS"),0,IF(A9="DNF",1,IF(ISNUMBER(A9),IF($H$2="J",IF(A9&lt;=11,VLOOKUP(A9,Punten!$A$2:$C$31,3,FALSE()),1),IF(A9&lt;=30,VLOOKUP(A9,Punten!$A$2:$C$31,2,FALSE()),1)),0))))</f>
        <v>70</v>
      </c>
    </row>
    <row r="10" spans="1:8" x14ac:dyDescent="0.25">
      <c r="A10" s="12">
        <v>7</v>
      </c>
      <c r="B10" s="13"/>
      <c r="C10" s="14" t="s">
        <v>40</v>
      </c>
      <c r="D10" s="14" t="s">
        <v>34</v>
      </c>
      <c r="E10" s="13"/>
      <c r="F10" s="15"/>
      <c r="G10" s="15"/>
      <c r="H10" s="16">
        <f>IF(C10="",0,IF(OR(A10="",A10="DNS"),0,IF(A10="DNF",1,IF(ISNUMBER(A10),IF($H$2="J",IF(A10&lt;=11,VLOOKUP(A10,Punten!$A$2:$C$31,3,FALSE()),1),IF(A10&lt;=30,VLOOKUP(A10,Punten!$A$2:$C$31,2,FALSE()),1)),0))))</f>
        <v>66</v>
      </c>
    </row>
    <row r="11" spans="1:8" x14ac:dyDescent="0.25">
      <c r="A11" s="12">
        <v>8</v>
      </c>
      <c r="B11" s="13"/>
      <c r="C11" s="14" t="s">
        <v>41</v>
      </c>
      <c r="D11" s="14" t="s">
        <v>34</v>
      </c>
      <c r="E11" s="13"/>
      <c r="F11" s="15"/>
      <c r="G11" s="15"/>
      <c r="H11" s="16">
        <f>IF(C11="",0,IF(OR(A11="",A11="DNS"),0,IF(A11="DNF",1,IF(ISNUMBER(A11),IF($H$2="J",IF(A11&lt;=11,VLOOKUP(A11,Punten!$A$2:$C$31,3,FALSE()),1),IF(A11&lt;=30,VLOOKUP(A11,Punten!$A$2:$C$31,2,FALSE()),1)),0))))</f>
        <v>62</v>
      </c>
    </row>
    <row r="12" spans="1:8" x14ac:dyDescent="0.25">
      <c r="A12" s="12">
        <v>9</v>
      </c>
      <c r="B12" s="13"/>
      <c r="C12" s="14" t="s">
        <v>42</v>
      </c>
      <c r="D12" s="14" t="s">
        <v>34</v>
      </c>
      <c r="E12" s="13"/>
      <c r="F12" s="15"/>
      <c r="G12" s="15"/>
      <c r="H12" s="16">
        <f>IF(C12="",0,IF(OR(A12="",A12="DNS"),0,IF(A12="DNF",1,IF(ISNUMBER(A12),IF($H$2="J",IF(A12&lt;=11,VLOOKUP(A12,Punten!$A$2:$C$31,3,FALSE()),1),IF(A12&lt;=30,VLOOKUP(A12,Punten!$A$2:$C$31,2,FALSE()),1)),0))))</f>
        <v>58</v>
      </c>
    </row>
    <row r="13" spans="1:8" x14ac:dyDescent="0.25">
      <c r="A13" s="12">
        <v>10</v>
      </c>
      <c r="B13" s="13"/>
      <c r="C13" s="14" t="s">
        <v>43</v>
      </c>
      <c r="D13" s="14" t="s">
        <v>34</v>
      </c>
      <c r="E13" s="13"/>
      <c r="F13" s="15"/>
      <c r="G13" s="15"/>
      <c r="H13" s="16">
        <f>IF(C13="",0,IF(OR(A13="",A13="DNS"),0,IF(A13="DNF",1,IF(ISNUMBER(A13),IF($H$2="J",IF(A13&lt;=11,VLOOKUP(A13,Punten!$A$2:$C$31,3,FALSE()),1),IF(A13&lt;=30,VLOOKUP(A13,Punten!$A$2:$C$31,2,FALSE()),1)),0))))</f>
        <v>54</v>
      </c>
    </row>
    <row r="14" spans="1:8" x14ac:dyDescent="0.25">
      <c r="A14" s="12">
        <v>11</v>
      </c>
      <c r="B14" s="13"/>
      <c r="C14" s="14" t="s">
        <v>44</v>
      </c>
      <c r="D14" s="14" t="s">
        <v>34</v>
      </c>
      <c r="E14" s="13"/>
      <c r="F14" s="15"/>
      <c r="G14" s="15"/>
      <c r="H14" s="16">
        <f>IF(C14="",0,IF(OR(A14="",A14="DNS"),0,IF(A14="DNF",1,IF(ISNUMBER(A14),IF($H$2="J",IF(A14&lt;=11,VLOOKUP(A14,Punten!$A$2:$C$31,3,FALSE()),1),IF(A14&lt;=30,VLOOKUP(A14,Punten!$A$2:$C$31,2,FALSE()),1)),0))))</f>
        <v>50</v>
      </c>
    </row>
    <row r="15" spans="1:8" x14ac:dyDescent="0.25">
      <c r="A15" s="12">
        <v>12</v>
      </c>
      <c r="B15" s="13"/>
      <c r="C15" s="14" t="s">
        <v>45</v>
      </c>
      <c r="D15" s="14" t="s">
        <v>34</v>
      </c>
      <c r="E15" s="13"/>
      <c r="F15" s="15"/>
      <c r="G15" s="15"/>
      <c r="H15" s="16">
        <f>IF(C15="",0,IF(OR(A15="",A15="DNS"),0,IF(A15="DNF",1,IF(ISNUMBER(A15),IF($H$2="J",IF(A15&lt;=11,VLOOKUP(A15,Punten!$A$2:$C$31,3,FALSE()),1),IF(A15&lt;=30,VLOOKUP(A15,Punten!$A$2:$C$31,2,FALSE()),1)),0))))</f>
        <v>47</v>
      </c>
    </row>
    <row r="16" spans="1:8" x14ac:dyDescent="0.25">
      <c r="A16" s="12">
        <v>13</v>
      </c>
      <c r="B16" s="13"/>
      <c r="C16" s="14" t="s">
        <v>46</v>
      </c>
      <c r="D16" s="14" t="s">
        <v>34</v>
      </c>
      <c r="E16" s="13"/>
      <c r="F16" s="15"/>
      <c r="G16" s="15"/>
      <c r="H16" s="16">
        <f>IF(C16="",0,IF(OR(A16="",A16="DNS"),0,IF(A16="DNF",1,IF(ISNUMBER(A16),IF($H$2="J",IF(A16&lt;=11,VLOOKUP(A16,Punten!$A$2:$C$31,3,FALSE()),1),IF(A16&lt;=30,VLOOKUP(A16,Punten!$A$2:$C$31,2,FALSE()),1)),0))))</f>
        <v>44</v>
      </c>
    </row>
    <row r="17" spans="1:8" x14ac:dyDescent="0.25">
      <c r="A17" s="12">
        <v>14</v>
      </c>
      <c r="B17" s="13"/>
      <c r="C17" s="14" t="s">
        <v>47</v>
      </c>
      <c r="D17" s="14" t="s">
        <v>34</v>
      </c>
      <c r="E17" s="13"/>
      <c r="F17" s="15"/>
      <c r="G17" s="15"/>
      <c r="H17" s="16">
        <f>IF(C17="",0,IF(OR(A17="",A17="DNS"),0,IF(A17="DNF",1,IF(ISNUMBER(A17),IF($H$2="J",IF(A17&lt;=11,VLOOKUP(A17,Punten!$A$2:$C$31,3,FALSE()),1),IF(A17&lt;=30,VLOOKUP(A17,Punten!$A$2:$C$31,2,FALSE()),1)),0))))</f>
        <v>41</v>
      </c>
    </row>
    <row r="18" spans="1:8" x14ac:dyDescent="0.25">
      <c r="A18" s="12">
        <v>15</v>
      </c>
      <c r="B18" s="13"/>
      <c r="C18" s="14" t="s">
        <v>48</v>
      </c>
      <c r="D18" s="14" t="s">
        <v>49</v>
      </c>
      <c r="E18" s="13"/>
      <c r="F18" s="15"/>
      <c r="G18" s="15"/>
      <c r="H18" s="16">
        <f>IF(C18="",0,IF(OR(A18="",A18="DNS"),0,IF(A18="DNF",1,IF(ISNUMBER(A18),IF($H$2="J",IF(A18&lt;=11,VLOOKUP(A18,Punten!$A$2:$C$31,3,FALSE()),1),IF(A18&lt;=30,VLOOKUP(A18,Punten!$A$2:$C$31,2,FALSE()),1)),0))))</f>
        <v>38</v>
      </c>
    </row>
    <row r="19" spans="1:8" x14ac:dyDescent="0.25">
      <c r="A19" s="12">
        <v>16</v>
      </c>
      <c r="B19" s="13"/>
      <c r="C19" s="14" t="s">
        <v>50</v>
      </c>
      <c r="D19" s="14" t="s">
        <v>49</v>
      </c>
      <c r="E19" s="13"/>
      <c r="F19" s="15"/>
      <c r="G19" s="15"/>
      <c r="H19" s="16">
        <f>IF(C19="",0,IF(OR(A19="",A19="DNS"),0,IF(A19="DNF",1,IF(ISNUMBER(A19),IF($H$2="J",IF(A19&lt;=11,VLOOKUP(A19,Punten!$A$2:$C$31,3,FALSE()),1),IF(A19&lt;=30,VLOOKUP(A19,Punten!$A$2:$C$31,2,FALSE()),1)),0))))</f>
        <v>35</v>
      </c>
    </row>
    <row r="20" spans="1:8" x14ac:dyDescent="0.25">
      <c r="A20" s="12">
        <v>17</v>
      </c>
      <c r="B20" s="13"/>
      <c r="C20" s="14" t="s">
        <v>51</v>
      </c>
      <c r="D20" s="14" t="s">
        <v>34</v>
      </c>
      <c r="E20" s="13"/>
      <c r="F20" s="15"/>
      <c r="G20" s="15"/>
      <c r="H20" s="16">
        <f>IF(C20="",0,IF(OR(A20="",A20="DNS"),0,IF(A20="DNF",1,IF(ISNUMBER(A20),IF($H$2="J",IF(A20&lt;=11,VLOOKUP(A20,Punten!$A$2:$C$31,3,FALSE()),1),IF(A20&lt;=30,VLOOKUP(A20,Punten!$A$2:$C$31,2,FALSE()),1)),0))))</f>
        <v>32</v>
      </c>
    </row>
    <row r="21" spans="1:8" x14ac:dyDescent="0.25">
      <c r="A21" s="12">
        <v>18</v>
      </c>
      <c r="B21" s="13"/>
      <c r="C21" s="14" t="s">
        <v>52</v>
      </c>
      <c r="D21" s="14" t="s">
        <v>34</v>
      </c>
      <c r="E21" s="13"/>
      <c r="F21" s="15"/>
      <c r="G21" s="15"/>
      <c r="H21" s="16">
        <f>IF(C21="",0,IF(OR(A21="",A21="DNS"),0,IF(A21="DNF",1,IF(ISNUMBER(A21),IF($H$2="J",IF(A21&lt;=11,VLOOKUP(A21,Punten!$A$2:$C$31,3,FALSE()),1),IF(A21&lt;=30,VLOOKUP(A21,Punten!$A$2:$C$31,2,FALSE()),1)),0))))</f>
        <v>29</v>
      </c>
    </row>
    <row r="22" spans="1:8" x14ac:dyDescent="0.25">
      <c r="A22" s="12">
        <v>19</v>
      </c>
      <c r="B22" s="13"/>
      <c r="C22" s="14" t="s">
        <v>53</v>
      </c>
      <c r="D22" s="14" t="s">
        <v>34</v>
      </c>
      <c r="E22" s="13"/>
      <c r="F22" s="15"/>
      <c r="G22" s="15"/>
      <c r="H22" s="16">
        <f>IF(C22="",0,IF(OR(A22="",A22="DNS"),0,IF(A22="DNF",1,IF(ISNUMBER(A22),IF($H$2="J",IF(A22&lt;=11,VLOOKUP(A22,Punten!$A$2:$C$31,3,FALSE()),1),IF(A22&lt;=30,VLOOKUP(A22,Punten!$A$2:$C$31,2,FALSE()),1)),0))))</f>
        <v>26</v>
      </c>
    </row>
    <row r="23" spans="1:8" x14ac:dyDescent="0.25">
      <c r="A23" s="12">
        <v>20</v>
      </c>
      <c r="B23" s="13"/>
      <c r="C23" s="14" t="s">
        <v>54</v>
      </c>
      <c r="D23" s="14" t="s">
        <v>34</v>
      </c>
      <c r="E23" s="13"/>
      <c r="F23" s="15"/>
      <c r="G23" s="15"/>
      <c r="H23" s="16">
        <f>IF(C23="",0,IF(OR(A23="",A23="DNS"),0,IF(A23="DNF",1,IF(ISNUMBER(A23),IF($H$2="J",IF(A23&lt;=11,VLOOKUP(A23,Punten!$A$2:$C$31,3,FALSE()),1),IF(A23&lt;=30,VLOOKUP(A23,Punten!$A$2:$C$31,2,FALSE()),1)),0))))</f>
        <v>24</v>
      </c>
    </row>
    <row r="24" spans="1:8" x14ac:dyDescent="0.25">
      <c r="A24" s="12">
        <v>21</v>
      </c>
      <c r="B24" s="13"/>
      <c r="C24" s="14" t="s">
        <v>55</v>
      </c>
      <c r="D24" s="14" t="s">
        <v>34</v>
      </c>
      <c r="E24" s="13"/>
      <c r="F24" s="15"/>
      <c r="G24" s="15"/>
      <c r="H24" s="16">
        <f>IF(C24="",0,IF(OR(A24="",A24="DNS"),0,IF(A24="DNF",1,IF(ISNUMBER(A24),IF($H$2="J",IF(A24&lt;=11,VLOOKUP(A24,Punten!$A$2:$C$31,3,FALSE()),1),IF(A24&lt;=30,VLOOKUP(A24,Punten!$A$2:$C$31,2,FALSE()),1)),0))))</f>
        <v>22</v>
      </c>
    </row>
    <row r="25" spans="1:8" x14ac:dyDescent="0.25">
      <c r="A25" s="12">
        <v>22</v>
      </c>
      <c r="B25" s="13"/>
      <c r="C25" s="14" t="s">
        <v>56</v>
      </c>
      <c r="D25" s="14" t="s">
        <v>34</v>
      </c>
      <c r="E25" s="13"/>
      <c r="F25" s="15"/>
      <c r="G25" s="15"/>
      <c r="H25" s="16">
        <f>IF(C25="",0,IF(OR(A25="",A25="DNS"),0,IF(A25="DNF",1,IF(ISNUMBER(A25),IF($H$2="J",IF(A25&lt;=11,VLOOKUP(A25,Punten!$A$2:$C$31,3,FALSE()),1),IF(A25&lt;=30,VLOOKUP(A25,Punten!$A$2:$C$31,2,FALSE()),1)),0))))</f>
        <v>20</v>
      </c>
    </row>
    <row r="26" spans="1:8" x14ac:dyDescent="0.25">
      <c r="A26" s="12">
        <v>23</v>
      </c>
      <c r="B26" s="13"/>
      <c r="C26" s="14" t="s">
        <v>57</v>
      </c>
      <c r="D26" s="14" t="s">
        <v>34</v>
      </c>
      <c r="E26" s="13"/>
      <c r="F26" s="15"/>
      <c r="G26" s="15"/>
      <c r="H26" s="16">
        <f>IF(C26="",0,IF(OR(A26="",A26="DNS"),0,IF(A26="DNF",1,IF(ISNUMBER(A26),IF($H$2="J",IF(A26&lt;=11,VLOOKUP(A26,Punten!$A$2:$C$31,3,FALSE()),1),IF(A26&lt;=30,VLOOKUP(A26,Punten!$A$2:$C$31,2,FALSE()),1)),0))))</f>
        <v>16</v>
      </c>
    </row>
    <row r="27" spans="1:8" x14ac:dyDescent="0.25">
      <c r="A27" s="12">
        <v>24</v>
      </c>
      <c r="B27" s="13"/>
      <c r="C27" s="14" t="s">
        <v>58</v>
      </c>
      <c r="D27" s="14" t="s">
        <v>34</v>
      </c>
      <c r="E27" s="13"/>
      <c r="F27" s="15"/>
      <c r="G27" s="15"/>
      <c r="H27" s="16">
        <f>IF(C27="",0,IF(OR(A27="",A27="DNS"),0,IF(A27="DNF",1,IF(ISNUMBER(A27),IF($H$2="J",IF(A27&lt;=11,VLOOKUP(A27,Punten!$A$2:$C$31,3,FALSE()),1),IF(A27&lt;=30,VLOOKUP(A27,Punten!$A$2:$C$31,2,FALSE()),1)),0))))</f>
        <v>14</v>
      </c>
    </row>
    <row r="28" spans="1:8" x14ac:dyDescent="0.25">
      <c r="A28" s="12">
        <v>25</v>
      </c>
      <c r="B28" s="13"/>
      <c r="C28" s="14" t="s">
        <v>59</v>
      </c>
      <c r="D28" s="14" t="s">
        <v>34</v>
      </c>
      <c r="E28" s="13"/>
      <c r="F28" s="15"/>
      <c r="G28" s="15"/>
      <c r="H28" s="16">
        <f>IF(C28="",0,IF(OR(A28="",A28="DNS"),0,IF(A28="DNF",1,IF(ISNUMBER(A28),IF($H$2="J",IF(A28&lt;=11,VLOOKUP(A28,Punten!$A$2:$C$31,3,FALSE()),1),IF(A28&lt;=30,VLOOKUP(A28,Punten!$A$2:$C$31,2,FALSE()),1)),0))))</f>
        <v>12</v>
      </c>
    </row>
    <row r="29" spans="1:8" x14ac:dyDescent="0.25">
      <c r="A29" s="12">
        <v>26</v>
      </c>
      <c r="B29" s="13"/>
      <c r="C29" s="14" t="s">
        <v>60</v>
      </c>
      <c r="D29" s="14" t="s">
        <v>34</v>
      </c>
      <c r="E29" s="13"/>
      <c r="F29" s="15"/>
      <c r="G29" s="15"/>
      <c r="H29" s="16">
        <f>IF(C29="",0,IF(OR(A29="",A29="DNS"),0,IF(A29="DNF",1,IF(ISNUMBER(A29),IF($H$2="J",IF(A29&lt;=11,VLOOKUP(A29,Punten!$A$2:$C$31,3,FALSE()),1),IF(A29&lt;=30,VLOOKUP(A29,Punten!$A$2:$C$31,2,FALSE()),1)),0))))</f>
        <v>10</v>
      </c>
    </row>
    <row r="30" spans="1:8" x14ac:dyDescent="0.25">
      <c r="A30" s="12">
        <v>27</v>
      </c>
      <c r="B30" s="13"/>
      <c r="C30" s="14" t="s">
        <v>61</v>
      </c>
      <c r="D30" s="14" t="s">
        <v>34</v>
      </c>
      <c r="E30" s="13"/>
      <c r="F30" s="15"/>
      <c r="G30" s="15"/>
      <c r="H30" s="16">
        <f>IF(C30="",0,IF(OR(A30="",A30="DNS"),0,IF(A30="DNF",1,IF(ISNUMBER(A30),IF($H$2="J",IF(A30&lt;=11,VLOOKUP(A30,Punten!$A$2:$C$31,3,FALSE()),1),IF(A30&lt;=30,VLOOKUP(A30,Punten!$A$2:$C$31,2,FALSE()),1)),0))))</f>
        <v>8</v>
      </c>
    </row>
    <row r="31" spans="1:8" x14ac:dyDescent="0.25">
      <c r="A31" s="12">
        <v>28</v>
      </c>
      <c r="B31" s="13"/>
      <c r="C31" s="14" t="s">
        <v>62</v>
      </c>
      <c r="D31" s="14" t="s">
        <v>34</v>
      </c>
      <c r="E31" s="13"/>
      <c r="F31" s="15"/>
      <c r="G31" s="15"/>
      <c r="H31" s="16">
        <f>IF(C31="",0,IF(OR(A31="",A31="DNS"),0,IF(A31="DNF",1,IF(ISNUMBER(A31),IF($H$2="J",IF(A31&lt;=11,VLOOKUP(A31,Punten!$A$2:$C$31,3,FALSE()),1),IF(A31&lt;=30,VLOOKUP(A31,Punten!$A$2:$C$31,2,FALSE()),1)),0))))</f>
        <v>6</v>
      </c>
    </row>
    <row r="32" spans="1:8" x14ac:dyDescent="0.25">
      <c r="A32" s="12">
        <v>29</v>
      </c>
      <c r="B32" s="13"/>
      <c r="C32" s="14" t="s">
        <v>63</v>
      </c>
      <c r="D32" s="14" t="s">
        <v>34</v>
      </c>
      <c r="E32" s="13"/>
      <c r="F32" s="15"/>
      <c r="G32" s="15"/>
      <c r="H32" s="16">
        <f>IF(C32="",0,IF(OR(A32="",A32="DNS"),0,IF(A32="DNF",1,IF(ISNUMBER(A32),IF($H$2="J",IF(A32&lt;=11,VLOOKUP(A32,Punten!$A$2:$C$31,3,FALSE()),1),IF(A32&lt;=30,VLOOKUP(A32,Punten!$A$2:$C$31,2,FALSE()),1)),0))))</f>
        <v>4</v>
      </c>
    </row>
    <row r="33" spans="1:8" x14ac:dyDescent="0.25">
      <c r="A33" s="12">
        <v>30</v>
      </c>
      <c r="B33" s="13"/>
      <c r="C33" s="14" t="s">
        <v>64</v>
      </c>
      <c r="D33" s="14" t="s">
        <v>34</v>
      </c>
      <c r="E33" s="13"/>
      <c r="F33" s="15"/>
      <c r="G33" s="15"/>
      <c r="H33" s="16">
        <f>IF(C33="",0,IF(OR(A33="",A33="DNS"),0,IF(A33="DNF",1,IF(ISNUMBER(A33),IF($H$2="J",IF(A33&lt;=11,VLOOKUP(A33,Punten!$A$2:$C$31,3,FALSE()),1),IF(A33&lt;=30,VLOOKUP(A33,Punten!$A$2:$C$31,2,FALSE()),1)),0))))</f>
        <v>2</v>
      </c>
    </row>
    <row r="34" spans="1:8" x14ac:dyDescent="0.25">
      <c r="A34" s="12" t="s">
        <v>65</v>
      </c>
      <c r="B34" s="13"/>
      <c r="C34" s="14" t="s">
        <v>66</v>
      </c>
      <c r="D34" s="14" t="s">
        <v>49</v>
      </c>
      <c r="E34" s="13"/>
      <c r="F34" s="15"/>
      <c r="G34" s="15"/>
      <c r="H34" s="16">
        <f>IF(C34="",0,IF(OR(A34="",A34="DNS"),0,IF(A34="DNF",1,IF(ISNUMBER(A34),IF($H$2="J",IF(A34&lt;=11,VLOOKUP(A34,Punten!$A$2:$C$31,3,FALSE()),1),IF(A34&lt;=30,VLOOKUP(A34,Punten!$A$2:$C$31,2,FALSE()),1)),0))))</f>
        <v>1</v>
      </c>
    </row>
    <row r="35" spans="1:8" x14ac:dyDescent="0.25">
      <c r="A35" s="12"/>
      <c r="B35" s="13"/>
      <c r="C35" s="17"/>
      <c r="D35" s="13"/>
      <c r="E35" s="13"/>
      <c r="F35" s="15"/>
      <c r="G35" s="15"/>
      <c r="H35" s="16">
        <f>IF(C35="",0,IF(OR(A35="",A35="DNS"),0,IF(A35="DNF",1,IF(ISNUMBER(A35),IF($H$2="J",IF(A35&lt;=11,VLOOKUP(A35,Punten!$A$2:$C$31,3,FALSE()),1),IF(A35&lt;=30,VLOOKUP(A35,Punten!$A$2:$C$31,2,FALSE()),1)),0))))</f>
        <v>0</v>
      </c>
    </row>
    <row r="36" spans="1:8" x14ac:dyDescent="0.25">
      <c r="A36" s="12"/>
      <c r="B36" s="13"/>
      <c r="C36" s="17"/>
      <c r="D36" s="13"/>
      <c r="E36" s="13"/>
      <c r="F36" s="15"/>
      <c r="G36" s="15"/>
      <c r="H36" s="16">
        <f>IF(C36="",0,IF(OR(A36="",A36="DNS"),0,IF(A36="DNF",1,IF(ISNUMBER(A36),IF($H$2="J",IF(A36&lt;=11,VLOOKUP(A36,Punten!$A$2:$C$31,3,FALSE()),1),IF(A36&lt;=30,VLOOKUP(A36,Punten!$A$2:$C$31,2,FALSE()),1)),0))))</f>
        <v>0</v>
      </c>
    </row>
    <row r="38" spans="1:8" ht="16.5" customHeight="1" x14ac:dyDescent="0.25">
      <c r="A38" s="7" t="s">
        <v>67</v>
      </c>
      <c r="B38" s="8"/>
      <c r="C38" s="8"/>
      <c r="D38" s="8"/>
      <c r="E38" s="8"/>
      <c r="F38" s="8"/>
      <c r="G38" s="9" t="s">
        <v>23</v>
      </c>
      <c r="H38" s="10" t="s">
        <v>24</v>
      </c>
    </row>
    <row r="39" spans="1:8" x14ac:dyDescent="0.25">
      <c r="A39" s="11" t="s">
        <v>25</v>
      </c>
      <c r="B39" s="11" t="s">
        <v>26</v>
      </c>
      <c r="C39" s="11" t="s">
        <v>27</v>
      </c>
      <c r="D39" s="11" t="s">
        <v>28</v>
      </c>
      <c r="E39" s="11" t="s">
        <v>29</v>
      </c>
      <c r="F39" s="11" t="s">
        <v>30</v>
      </c>
      <c r="G39" s="11" t="s">
        <v>31</v>
      </c>
      <c r="H39" s="11" t="s">
        <v>32</v>
      </c>
    </row>
    <row r="40" spans="1:8" x14ac:dyDescent="0.25">
      <c r="A40" s="12">
        <v>1</v>
      </c>
      <c r="B40" s="13"/>
      <c r="C40" s="14" t="s">
        <v>68</v>
      </c>
      <c r="D40" s="13"/>
      <c r="E40" s="13"/>
      <c r="F40" s="15"/>
      <c r="G40" s="15"/>
      <c r="H40" s="16">
        <f>IF(C40="",0,IF(OR(A40="",A40="DNS"),0,IF(A40="DNF",1,IF(ISNUMBER(A40),IF($H$38="J",IF(A40&lt;=11,VLOOKUP(A40,Punten!$A$2:$C$31,3,FALSE()),1),IF(A40&lt;=30,VLOOKUP(A40,Punten!$A$2:$C$31,2,FALSE()),1)),0))))</f>
        <v>100.1</v>
      </c>
    </row>
    <row r="41" spans="1:8" x14ac:dyDescent="0.25">
      <c r="A41" s="12">
        <v>2</v>
      </c>
      <c r="B41" s="13"/>
      <c r="C41" s="14" t="s">
        <v>69</v>
      </c>
      <c r="D41" s="13"/>
      <c r="E41" s="13"/>
      <c r="F41" s="15"/>
      <c r="G41" s="15"/>
      <c r="H41" s="16">
        <f>IF(C41="",0,IF(OR(A41="",A41="DNS"),0,IF(A41="DNF",1,IF(ISNUMBER(A41),IF($H$38="J",IF(A41&lt;=11,VLOOKUP(A41,Punten!$A$2:$C$31,3,FALSE()),1),IF(A41&lt;=30,VLOOKUP(A41,Punten!$A$2:$C$31,2,FALSE()),1)),0))))</f>
        <v>90</v>
      </c>
    </row>
    <row r="42" spans="1:8" x14ac:dyDescent="0.25">
      <c r="A42" s="12">
        <v>3</v>
      </c>
      <c r="B42" s="13"/>
      <c r="C42" s="14" t="s">
        <v>70</v>
      </c>
      <c r="D42" s="13"/>
      <c r="E42" s="13"/>
      <c r="F42" s="15"/>
      <c r="G42" s="15"/>
      <c r="H42" s="16">
        <f>IF(C42="",0,IF(OR(A42="",A42="DNS"),0,IF(A42="DNF",1,IF(ISNUMBER(A42),IF($H$38="J",IF(A42&lt;=11,VLOOKUP(A42,Punten!$A$2:$C$31,3,FALSE()),1),IF(A42&lt;=30,VLOOKUP(A42,Punten!$A$2:$C$31,2,FALSE()),1)),0))))</f>
        <v>85</v>
      </c>
    </row>
    <row r="43" spans="1:8" x14ac:dyDescent="0.25">
      <c r="A43" s="12">
        <v>4</v>
      </c>
      <c r="B43" s="13"/>
      <c r="C43" s="14" t="s">
        <v>71</v>
      </c>
      <c r="D43" s="13"/>
      <c r="E43" s="13"/>
      <c r="F43" s="15"/>
      <c r="G43" s="15"/>
      <c r="H43" s="16">
        <f>IF(C43="",0,IF(OR(A43="",A43="DNS"),0,IF(A43="DNF",1,IF(ISNUMBER(A43),IF($H$38="J",IF(A43&lt;=11,VLOOKUP(A43,Punten!$A$2:$C$31,3,FALSE()),1),IF(A43&lt;=30,VLOOKUP(A43,Punten!$A$2:$C$31,2,FALSE()),1)),0))))</f>
        <v>80</v>
      </c>
    </row>
    <row r="44" spans="1:8" x14ac:dyDescent="0.25">
      <c r="A44" s="12">
        <v>5</v>
      </c>
      <c r="B44" s="13"/>
      <c r="C44" s="14" t="s">
        <v>72</v>
      </c>
      <c r="D44" s="13"/>
      <c r="E44" s="13"/>
      <c r="F44" s="15"/>
      <c r="G44" s="15"/>
      <c r="H44" s="16">
        <f>IF(C44="",0,IF(OR(A44="",A44="DNS"),0,IF(A44="DNF",1,IF(ISNUMBER(A44),IF($H$38="J",IF(A44&lt;=11,VLOOKUP(A44,Punten!$A$2:$C$31,3,FALSE()),1),IF(A44&lt;=30,VLOOKUP(A44,Punten!$A$2:$C$31,2,FALSE()),1)),0))))</f>
        <v>75</v>
      </c>
    </row>
    <row r="45" spans="1:8" x14ac:dyDescent="0.25">
      <c r="A45" s="12">
        <v>6</v>
      </c>
      <c r="B45" s="13"/>
      <c r="C45" s="14" t="s">
        <v>73</v>
      </c>
      <c r="D45" s="13"/>
      <c r="E45" s="13"/>
      <c r="F45" s="15"/>
      <c r="G45" s="15"/>
      <c r="H45" s="16">
        <f>IF(C45="",0,IF(OR(A45="",A45="DNS"),0,IF(A45="DNF",1,IF(ISNUMBER(A45),IF($H$38="J",IF(A45&lt;=11,VLOOKUP(A45,Punten!$A$2:$C$31,3,FALSE()),1),IF(A45&lt;=30,VLOOKUP(A45,Punten!$A$2:$C$31,2,FALSE()),1)),0))))</f>
        <v>70</v>
      </c>
    </row>
    <row r="46" spans="1:8" x14ac:dyDescent="0.25">
      <c r="A46" s="12">
        <v>7</v>
      </c>
      <c r="B46" s="13"/>
      <c r="C46" s="14" t="s">
        <v>74</v>
      </c>
      <c r="D46" s="13"/>
      <c r="E46" s="13"/>
      <c r="F46" s="15"/>
      <c r="G46" s="15"/>
      <c r="H46" s="16">
        <f>IF(C46="",0,IF(OR(A46="",A46="DNS"),0,IF(A46="DNF",1,IF(ISNUMBER(A46),IF($H$38="J",IF(A46&lt;=11,VLOOKUP(A46,Punten!$A$2:$C$31,3,FALSE()),1),IF(A46&lt;=30,VLOOKUP(A46,Punten!$A$2:$C$31,2,FALSE()),1)),0))))</f>
        <v>66</v>
      </c>
    </row>
    <row r="47" spans="1:8" x14ac:dyDescent="0.25">
      <c r="A47" s="12">
        <v>8</v>
      </c>
      <c r="B47" s="13"/>
      <c r="C47" s="14" t="s">
        <v>75</v>
      </c>
      <c r="D47" s="13"/>
      <c r="E47" s="13"/>
      <c r="F47" s="15"/>
      <c r="G47" s="15"/>
      <c r="H47" s="16">
        <f>IF(C47="",0,IF(OR(A47="",A47="DNS"),0,IF(A47="DNF",1,IF(ISNUMBER(A47),IF($H$38="J",IF(A47&lt;=11,VLOOKUP(A47,Punten!$A$2:$C$31,3,FALSE()),1),IF(A47&lt;=30,VLOOKUP(A47,Punten!$A$2:$C$31,2,FALSE()),1)),0))))</f>
        <v>62</v>
      </c>
    </row>
    <row r="48" spans="1:8" x14ac:dyDescent="0.25">
      <c r="A48" s="12">
        <v>9</v>
      </c>
      <c r="B48" s="13"/>
      <c r="C48" s="14" t="s">
        <v>76</v>
      </c>
      <c r="D48" s="13"/>
      <c r="E48" s="13"/>
      <c r="F48" s="15"/>
      <c r="G48" s="15"/>
      <c r="H48" s="16">
        <f>IF(C48="",0,IF(OR(A48="",A48="DNS"),0,IF(A48="DNF",1,IF(ISNUMBER(A48),IF($H$38="J",IF(A48&lt;=11,VLOOKUP(A48,Punten!$A$2:$C$31,3,FALSE()),1),IF(A48&lt;=30,VLOOKUP(A48,Punten!$A$2:$C$31,2,FALSE()),1)),0))))</f>
        <v>58</v>
      </c>
    </row>
    <row r="49" spans="1:8" x14ac:dyDescent="0.25">
      <c r="A49" s="12">
        <v>10</v>
      </c>
      <c r="B49" s="13"/>
      <c r="C49" s="14" t="s">
        <v>77</v>
      </c>
      <c r="D49" s="13"/>
      <c r="E49" s="13"/>
      <c r="F49" s="15"/>
      <c r="G49" s="15"/>
      <c r="H49" s="16">
        <f>IF(C49="",0,IF(OR(A49="",A49="DNS"),0,IF(A49="DNF",1,IF(ISNUMBER(A49),IF($H$38="J",IF(A49&lt;=11,VLOOKUP(A49,Punten!$A$2:$C$31,3,FALSE()),1),IF(A49&lt;=30,VLOOKUP(A49,Punten!$A$2:$C$31,2,FALSE()),1)),0))))</f>
        <v>54</v>
      </c>
    </row>
    <row r="50" spans="1:8" x14ac:dyDescent="0.25">
      <c r="A50" s="12">
        <v>11</v>
      </c>
      <c r="B50" s="13"/>
      <c r="C50" s="18" t="s">
        <v>78</v>
      </c>
      <c r="D50" s="13"/>
      <c r="E50" s="13"/>
      <c r="F50" s="15"/>
      <c r="G50" s="15"/>
      <c r="H50" s="16">
        <f>IF(C50="",0,IF(OR(A50="",A50="DNS"),0,IF(A50="DNF",1,IF(ISNUMBER(A50),IF($H$38="J",IF(A50&lt;=11,VLOOKUP(A50,Punten!$A$2:$C$31,3,FALSE()),1),IF(A50&lt;=30,VLOOKUP(A50,Punten!$A$2:$C$31,2,FALSE()),1)),0))))</f>
        <v>50</v>
      </c>
    </row>
    <row r="51" spans="1:8" x14ac:dyDescent="0.25">
      <c r="A51" s="12">
        <v>12</v>
      </c>
      <c r="B51" s="13"/>
      <c r="C51" s="14" t="s">
        <v>79</v>
      </c>
      <c r="D51" s="13"/>
      <c r="E51" s="13"/>
      <c r="F51" s="15"/>
      <c r="G51" s="15"/>
      <c r="H51" s="16">
        <f>IF(C51="",0,IF(OR(A51="",A51="DNS"),0,IF(A51="DNF",1,IF(ISNUMBER(A51),IF($H$38="J",IF(A51&lt;=11,VLOOKUP(A51,Punten!$A$2:$C$31,3,FALSE()),1),IF(A51&lt;=30,VLOOKUP(A51,Punten!$A$2:$C$31,2,FALSE()),1)),0))))</f>
        <v>47</v>
      </c>
    </row>
    <row r="52" spans="1:8" x14ac:dyDescent="0.25">
      <c r="A52" s="12">
        <v>13</v>
      </c>
      <c r="B52" s="13"/>
      <c r="C52" s="14" t="s">
        <v>80</v>
      </c>
      <c r="D52" s="13"/>
      <c r="E52" s="13"/>
      <c r="F52" s="15"/>
      <c r="G52" s="15"/>
      <c r="H52" s="16">
        <f>IF(C52="",0,IF(OR(A52="",A52="DNS"),0,IF(A52="DNF",1,IF(ISNUMBER(A52),IF($H$38="J",IF(A52&lt;=11,VLOOKUP(A52,Punten!$A$2:$C$31,3,FALSE()),1),IF(A52&lt;=30,VLOOKUP(A52,Punten!$A$2:$C$31,2,FALSE()),1)),0))))</f>
        <v>44</v>
      </c>
    </row>
    <row r="53" spans="1:8" x14ac:dyDescent="0.25">
      <c r="A53" s="12">
        <v>14</v>
      </c>
      <c r="B53" s="13"/>
      <c r="C53" s="14" t="s">
        <v>81</v>
      </c>
      <c r="D53" s="13"/>
      <c r="E53" s="13"/>
      <c r="F53" s="15"/>
      <c r="G53" s="15"/>
      <c r="H53" s="16">
        <f>IF(C53="",0,IF(OR(A53="",A53="DNS"),0,IF(A53="DNF",1,IF(ISNUMBER(A53),IF($H$38="J",IF(A53&lt;=11,VLOOKUP(A53,Punten!$A$2:$C$31,3,FALSE()),1),IF(A53&lt;=30,VLOOKUP(A53,Punten!$A$2:$C$31,2,FALSE()),1)),0))))</f>
        <v>41</v>
      </c>
    </row>
    <row r="54" spans="1:8" x14ac:dyDescent="0.25">
      <c r="A54" s="12">
        <v>15</v>
      </c>
      <c r="B54" s="13"/>
      <c r="C54" s="14" t="s">
        <v>82</v>
      </c>
      <c r="D54" s="13"/>
      <c r="E54" s="13"/>
      <c r="F54" s="15"/>
      <c r="G54" s="15"/>
      <c r="H54" s="16">
        <f>IF(C54="",0,IF(OR(A54="",A54="DNS"),0,IF(A54="DNF",1,IF(ISNUMBER(A54),IF($H$38="J",IF(A54&lt;=11,VLOOKUP(A54,Punten!$A$2:$C$31,3,FALSE()),1),IF(A54&lt;=30,VLOOKUP(A54,Punten!$A$2:$C$31,2,FALSE()),1)),0))))</f>
        <v>38</v>
      </c>
    </row>
    <row r="55" spans="1:8" x14ac:dyDescent="0.25">
      <c r="A55" s="12">
        <v>16</v>
      </c>
      <c r="B55" s="13"/>
      <c r="C55" s="18" t="s">
        <v>83</v>
      </c>
      <c r="D55" s="13"/>
      <c r="E55" s="13"/>
      <c r="F55" s="15"/>
      <c r="G55" s="15"/>
      <c r="H55" s="16">
        <f>IF(C55="",0,IF(OR(A55="",A55="DNS"),0,IF(A55="DNF",1,IF(ISNUMBER(A55),IF($H$38="J",IF(A55&lt;=11,VLOOKUP(A55,Punten!$A$2:$C$31,3,FALSE()),1),IF(A55&lt;=30,VLOOKUP(A55,Punten!$A$2:$C$31,2,FALSE()),1)),0))))</f>
        <v>35</v>
      </c>
    </row>
    <row r="56" spans="1:8" x14ac:dyDescent="0.25">
      <c r="A56" s="12">
        <v>17</v>
      </c>
      <c r="B56" s="13"/>
      <c r="C56" s="14" t="s">
        <v>84</v>
      </c>
      <c r="D56" s="13"/>
      <c r="E56" s="13"/>
      <c r="F56" s="15"/>
      <c r="G56" s="15"/>
      <c r="H56" s="16">
        <f>IF(C56="",0,IF(OR(A56="",A56="DNS"),0,IF(A56="DNF",1,IF(ISNUMBER(A56),IF($H$38="J",IF(A56&lt;=11,VLOOKUP(A56,Punten!$A$2:$C$31,3,FALSE()),1),IF(A56&lt;=30,VLOOKUP(A56,Punten!$A$2:$C$31,2,FALSE()),1)),0))))</f>
        <v>32</v>
      </c>
    </row>
    <row r="57" spans="1:8" x14ac:dyDescent="0.25">
      <c r="A57" s="12">
        <v>18</v>
      </c>
      <c r="B57" s="13"/>
      <c r="C57" s="14" t="s">
        <v>85</v>
      </c>
      <c r="D57" s="13"/>
      <c r="E57" s="13"/>
      <c r="F57" s="15"/>
      <c r="G57" s="15"/>
      <c r="H57" s="16">
        <f>IF(C57="",0,IF(OR(A57="",A57="DNS"),0,IF(A57="DNF",1,IF(ISNUMBER(A57),IF($H$38="J",IF(A57&lt;=11,VLOOKUP(A57,Punten!$A$2:$C$31,3,FALSE()),1),IF(A57&lt;=30,VLOOKUP(A57,Punten!$A$2:$C$31,2,FALSE()),1)),0))))</f>
        <v>29</v>
      </c>
    </row>
    <row r="58" spans="1:8" x14ac:dyDescent="0.25">
      <c r="A58" s="12">
        <v>19</v>
      </c>
      <c r="B58" s="13"/>
      <c r="C58" s="14" t="s">
        <v>86</v>
      </c>
      <c r="D58" s="13"/>
      <c r="E58" s="13"/>
      <c r="F58" s="15"/>
      <c r="G58" s="15"/>
      <c r="H58" s="16">
        <f>IF(C58="",0,IF(OR(A58="",A58="DNS"),0,IF(A58="DNF",1,IF(ISNUMBER(A58),IF($H$38="J",IF(A58&lt;=11,VLOOKUP(A58,Punten!$A$2:$C$31,3,FALSE()),1),IF(A58&lt;=30,VLOOKUP(A58,Punten!$A$2:$C$31,2,FALSE()),1)),0))))</f>
        <v>26</v>
      </c>
    </row>
    <row r="59" spans="1:8" x14ac:dyDescent="0.25">
      <c r="A59" s="12">
        <v>20</v>
      </c>
      <c r="B59" s="13"/>
      <c r="C59" s="14" t="s">
        <v>87</v>
      </c>
      <c r="D59" s="13"/>
      <c r="E59" s="13"/>
      <c r="F59" s="15"/>
      <c r="G59" s="15"/>
      <c r="H59" s="16">
        <f>IF(C59="",0,IF(OR(A59="",A59="DNS"),0,IF(A59="DNF",1,IF(ISNUMBER(A59),IF($H$38="J",IF(A59&lt;=11,VLOOKUP(A59,Punten!$A$2:$C$31,3,FALSE()),1),IF(A59&lt;=30,VLOOKUP(A59,Punten!$A$2:$C$31,2,FALSE()),1)),0))))</f>
        <v>24</v>
      </c>
    </row>
    <row r="60" spans="1:8" x14ac:dyDescent="0.25">
      <c r="A60" s="12">
        <v>21</v>
      </c>
      <c r="B60" s="13"/>
      <c r="C60" s="14" t="s">
        <v>88</v>
      </c>
      <c r="D60" s="13"/>
      <c r="E60" s="13"/>
      <c r="F60" s="15"/>
      <c r="G60" s="15"/>
      <c r="H60" s="16">
        <f>IF(C60="",0,IF(OR(A60="",A60="DNS"),0,IF(A60="DNF",1,IF(ISNUMBER(A60),IF($H$38="J",IF(A60&lt;=11,VLOOKUP(A60,Punten!$A$2:$C$31,3,FALSE()),1),IF(A60&lt;=30,VLOOKUP(A60,Punten!$A$2:$C$31,2,FALSE()),1)),0))))</f>
        <v>22</v>
      </c>
    </row>
    <row r="61" spans="1:8" x14ac:dyDescent="0.25">
      <c r="A61" s="12">
        <v>22</v>
      </c>
      <c r="B61" s="13"/>
      <c r="C61" s="14" t="s">
        <v>89</v>
      </c>
      <c r="D61" s="13"/>
      <c r="E61" s="13"/>
      <c r="F61" s="15"/>
      <c r="G61" s="15"/>
      <c r="H61" s="16">
        <f>IF(C61="",0,IF(OR(A61="",A61="DNS"),0,IF(A61="DNF",1,IF(ISNUMBER(A61),IF($H$38="J",IF(A61&lt;=11,VLOOKUP(A61,Punten!$A$2:$C$31,3,FALSE()),1),IF(A61&lt;=30,VLOOKUP(A61,Punten!$A$2:$C$31,2,FALSE()),1)),0))))</f>
        <v>20</v>
      </c>
    </row>
    <row r="62" spans="1:8" x14ac:dyDescent="0.25">
      <c r="A62" s="12">
        <v>23</v>
      </c>
      <c r="B62" s="13"/>
      <c r="C62" s="14" t="s">
        <v>90</v>
      </c>
      <c r="D62" s="13"/>
      <c r="E62" s="13"/>
      <c r="F62" s="15"/>
      <c r="G62" s="15"/>
      <c r="H62" s="16">
        <f>IF(C62="",0,IF(OR(A62="",A62="DNS"),0,IF(A62="DNF",1,IF(ISNUMBER(A62),IF($H$38="J",IF(A62&lt;=11,VLOOKUP(A62,Punten!$A$2:$C$31,3,FALSE()),1),IF(A62&lt;=30,VLOOKUP(A62,Punten!$A$2:$C$31,2,FALSE()),1)),0))))</f>
        <v>16</v>
      </c>
    </row>
    <row r="63" spans="1:8" x14ac:dyDescent="0.25">
      <c r="A63" s="12">
        <v>24</v>
      </c>
      <c r="B63" s="13"/>
      <c r="C63" s="14" t="s">
        <v>91</v>
      </c>
      <c r="D63" s="13"/>
      <c r="E63" s="13"/>
      <c r="F63" s="15"/>
      <c r="G63" s="15"/>
      <c r="H63" s="16">
        <f>IF(C63="",0,IF(OR(A63="",A63="DNS"),0,IF(A63="DNF",1,IF(ISNUMBER(A63),IF($H$38="J",IF(A63&lt;=11,VLOOKUP(A63,Punten!$A$2:$C$31,3,FALSE()),1),IF(A63&lt;=30,VLOOKUP(A63,Punten!$A$2:$C$31,2,FALSE()),1)),0))))</f>
        <v>14</v>
      </c>
    </row>
    <row r="64" spans="1:8" x14ac:dyDescent="0.25">
      <c r="A64" s="12">
        <v>25</v>
      </c>
      <c r="B64" s="13"/>
      <c r="C64" s="14" t="s">
        <v>92</v>
      </c>
      <c r="D64" s="13"/>
      <c r="E64" s="13"/>
      <c r="F64" s="15"/>
      <c r="G64" s="15"/>
      <c r="H64" s="16">
        <f>IF(C64="",0,IF(OR(A64="",A64="DNS"),0,IF(A64="DNF",1,IF(ISNUMBER(A64),IF($H$38="J",IF(A64&lt;=11,VLOOKUP(A64,Punten!$A$2:$C$31,3,FALSE()),1),IF(A64&lt;=30,VLOOKUP(A64,Punten!$A$2:$C$31,2,FALSE()),1)),0))))</f>
        <v>12</v>
      </c>
    </row>
    <row r="65" spans="1:8" x14ac:dyDescent="0.25">
      <c r="A65" s="12">
        <v>26</v>
      </c>
      <c r="B65" s="13"/>
      <c r="C65" s="14" t="s">
        <v>93</v>
      </c>
      <c r="D65" s="13"/>
      <c r="E65" s="13"/>
      <c r="F65" s="15"/>
      <c r="G65" s="15"/>
      <c r="H65" s="16">
        <f>IF(C65="",0,IF(OR(A65="",A65="DNS"),0,IF(A65="DNF",1,IF(ISNUMBER(A65),IF($H$38="J",IF(A65&lt;=11,VLOOKUP(A65,Punten!$A$2:$C$31,3,FALSE()),1),IF(A65&lt;=30,VLOOKUP(A65,Punten!$A$2:$C$31,2,FALSE()),1)),0))))</f>
        <v>10</v>
      </c>
    </row>
    <row r="66" spans="1:8" x14ac:dyDescent="0.25">
      <c r="A66" s="12">
        <v>27</v>
      </c>
      <c r="B66" s="13"/>
      <c r="C66" s="14" t="s">
        <v>94</v>
      </c>
      <c r="D66" s="13"/>
      <c r="E66" s="13"/>
      <c r="F66" s="15"/>
      <c r="G66" s="15"/>
      <c r="H66" s="16">
        <f>IF(C66="",0,IF(OR(A66="",A66="DNS"),0,IF(A66="DNF",1,IF(ISNUMBER(A66),IF($H$38="J",IF(A66&lt;=11,VLOOKUP(A66,Punten!$A$2:$C$31,3,FALSE()),1),IF(A66&lt;=30,VLOOKUP(A66,Punten!$A$2:$C$31,2,FALSE()),1)),0))))</f>
        <v>8</v>
      </c>
    </row>
    <row r="67" spans="1:8" x14ac:dyDescent="0.25">
      <c r="A67" s="12">
        <v>28</v>
      </c>
      <c r="B67" s="13"/>
      <c r="C67" s="14" t="s">
        <v>95</v>
      </c>
      <c r="D67" s="13"/>
      <c r="E67" s="13"/>
      <c r="F67" s="15"/>
      <c r="G67" s="15"/>
      <c r="H67" s="16">
        <f>IF(C67="",0,IF(OR(A67="",A67="DNS"),0,IF(A67="DNF",1,IF(ISNUMBER(A67),IF($H$38="J",IF(A67&lt;=11,VLOOKUP(A67,Punten!$A$2:$C$31,3,FALSE()),1),IF(A67&lt;=30,VLOOKUP(A67,Punten!$A$2:$C$31,2,FALSE()),1)),0))))</f>
        <v>6</v>
      </c>
    </row>
    <row r="68" spans="1:8" x14ac:dyDescent="0.25">
      <c r="A68" s="19" t="s">
        <v>65</v>
      </c>
      <c r="B68" s="13"/>
      <c r="C68" s="14" t="s">
        <v>96</v>
      </c>
      <c r="D68" s="13"/>
      <c r="E68" s="13"/>
      <c r="F68" s="15"/>
      <c r="G68" s="15"/>
      <c r="H68" s="16">
        <f>IF(C68="",0,IF(OR(A68="",A68="DNS"),0,IF(A68="DNF",1,IF(ISNUMBER(A68),IF($H$38="J",IF(A68&lt;=11,VLOOKUP(A68,Punten!$A$2:$C$31,3,FALSE()),1),IF(A68&lt;=30,VLOOKUP(A68,Punten!$A$2:$C$31,2,FALSE()),1)),0))))</f>
        <v>1</v>
      </c>
    </row>
    <row r="69" spans="1:8" x14ac:dyDescent="0.25">
      <c r="A69" s="19"/>
      <c r="B69" s="13"/>
      <c r="C69" s="17"/>
      <c r="D69" s="13"/>
      <c r="E69" s="13"/>
      <c r="F69" s="15"/>
      <c r="G69" s="15"/>
      <c r="H69" s="16">
        <f>IF(C69="",0,IF(OR(A69="",A69="DNS"),0,IF(A69="DNF",1,IF(ISNUMBER(A69),IF($H$38="J",IF(A69&lt;=11,VLOOKUP(A69,Punten!$A$2:$C$31,3,FALSE()),1),IF(A69&lt;=30,VLOOKUP(A69,Punten!$A$2:$C$31,2,FALSE()),1)),0))))</f>
        <v>0</v>
      </c>
    </row>
    <row r="70" spans="1:8" x14ac:dyDescent="0.25">
      <c r="A70" s="12"/>
      <c r="B70" s="13"/>
      <c r="C70" s="17"/>
      <c r="D70" s="13"/>
      <c r="E70" s="13"/>
      <c r="F70" s="15"/>
      <c r="G70" s="15"/>
      <c r="H70" s="16">
        <f>IF(C70="",0,IF(OR(A70="",A70="DNS"),0,IF(A70="DNF",1,IF(ISNUMBER(A70),IF($H$38="J",IF(A70&lt;=11,VLOOKUP(A70,Punten!$A$2:$C$31,3,FALSE()),1),IF(A70&lt;=30,VLOOKUP(A70,Punten!$A$2:$C$31,2,FALSE()),1)),0))))</f>
        <v>0</v>
      </c>
    </row>
    <row r="71" spans="1:8" x14ac:dyDescent="0.25">
      <c r="A71" s="12"/>
      <c r="B71" s="13"/>
      <c r="C71" s="17"/>
      <c r="D71" s="13"/>
      <c r="E71" s="13"/>
      <c r="F71" s="15"/>
      <c r="G71" s="15"/>
      <c r="H71" s="16">
        <f>IF(C71="",0,IF(OR(A71="",A71="DNS"),0,IF(A71="DNF",1,IF(ISNUMBER(A71),IF($H$38="J",IF(A71&lt;=11,VLOOKUP(A71,Punten!$A$2:$C$31,3,FALSE()),1),IF(A71&lt;=30,VLOOKUP(A71,Punten!$A$2:$C$31,2,FALSE()),1)),0))))</f>
        <v>0</v>
      </c>
    </row>
    <row r="72" spans="1:8" x14ac:dyDescent="0.25">
      <c r="A72" s="12"/>
      <c r="B72" s="13"/>
      <c r="C72" s="17"/>
      <c r="D72" s="13"/>
      <c r="E72" s="13"/>
      <c r="F72" s="15"/>
      <c r="G72" s="15"/>
      <c r="H72" s="16">
        <f>IF(C72="",0,IF(OR(A72="",A72="DNS"),0,IF(A72="DNF",1,IF(ISNUMBER(A72),IF($H$38="J",IF(A72&lt;=11,VLOOKUP(A72,Punten!$A$2:$C$31,3,FALSE()),1),IF(A72&lt;=30,VLOOKUP(A72,Punten!$A$2:$C$31,2,FALSE()),1)),0))))</f>
        <v>0</v>
      </c>
    </row>
    <row r="73" spans="1:8" x14ac:dyDescent="0.25">
      <c r="A73" s="12"/>
      <c r="B73" s="13"/>
      <c r="C73" s="17"/>
      <c r="D73" s="13"/>
      <c r="E73" s="13"/>
      <c r="F73" s="15"/>
      <c r="G73" s="15"/>
      <c r="H73" s="16">
        <f>IF(C73="",0,IF(OR(A73="",A73="DNS"),0,IF(A73="DNF",1,IF(ISNUMBER(A73),IF($H$38="J",IF(A73&lt;=11,VLOOKUP(A73,Punten!$A$2:$C$31,3,FALSE()),1),IF(A73&lt;=30,VLOOKUP(A73,Punten!$A$2:$C$31,2,FALSE()),1)),0))))</f>
        <v>0</v>
      </c>
    </row>
    <row r="74" spans="1:8" x14ac:dyDescent="0.25">
      <c r="A74" s="12"/>
      <c r="B74" s="13"/>
      <c r="C74" s="17"/>
      <c r="D74" s="13"/>
      <c r="E74" s="13"/>
      <c r="F74" s="15"/>
      <c r="G74" s="15"/>
      <c r="H74" s="16">
        <f>IF(C74="",0,IF(OR(A74="",A74="DNS"),0,IF(A74="DNF",1,IF(ISNUMBER(A74),IF($H$38="J",IF(A74&lt;=11,VLOOKUP(A74,Punten!$A$2:$C$31,3,FALSE()),1),IF(A74&lt;=30,VLOOKUP(A74,Punten!$A$2:$C$31,2,FALSE()),1)),0))))</f>
        <v>0</v>
      </c>
    </row>
    <row r="75" spans="1:8" x14ac:dyDescent="0.25">
      <c r="A75" s="12"/>
      <c r="B75" s="13"/>
      <c r="C75" s="17"/>
      <c r="D75" s="13"/>
      <c r="E75" s="13"/>
      <c r="F75" s="15"/>
      <c r="G75" s="15"/>
      <c r="H75" s="16">
        <f>IF(C75="",0,IF(OR(A75="",A75="DNS"),0,IF(A75="DNF",1,IF(ISNUMBER(A75),IF($H$38="J",IF(A75&lt;=11,VLOOKUP(A75,Punten!$A$2:$C$31,3,FALSE()),1),IF(A75&lt;=30,VLOOKUP(A75,Punten!$A$2:$C$31,2,FALSE()),1)),0))))</f>
        <v>0</v>
      </c>
    </row>
    <row r="76" spans="1:8" x14ac:dyDescent="0.25">
      <c r="A76" s="12"/>
      <c r="B76" s="13"/>
      <c r="C76" s="17"/>
      <c r="D76" s="13"/>
      <c r="E76" s="13"/>
      <c r="F76" s="15"/>
      <c r="G76" s="15"/>
      <c r="H76" s="16">
        <f>IF(C76="",0,IF(OR(A76="",A76="DNS"),0,IF(A76="DNF",1,IF(ISNUMBER(A76),IF($H$38="J",IF(A76&lt;=11,VLOOKUP(A76,Punten!$A$2:$C$31,3,FALSE()),1),IF(A76&lt;=30,VLOOKUP(A76,Punten!$A$2:$C$31,2,FALSE()),1)),0))))</f>
        <v>0</v>
      </c>
    </row>
    <row r="77" spans="1:8" x14ac:dyDescent="0.25">
      <c r="A77" s="12"/>
      <c r="B77" s="13"/>
      <c r="C77" s="17"/>
      <c r="D77" s="13"/>
      <c r="E77" s="13"/>
      <c r="F77" s="15"/>
      <c r="G77" s="15"/>
      <c r="H77" s="16">
        <f>IF(C77="",0,IF(OR(A77="",A77="DNS"),0,IF(A77="DNF",1,IF(ISNUMBER(A77),IF($H$38="J",IF(A77&lt;=11,VLOOKUP(A77,Punten!$A$2:$C$31,3,FALSE()),1),IF(A77&lt;=30,VLOOKUP(A77,Punten!$A$2:$C$31,2,FALSE()),1)),0))))</f>
        <v>0</v>
      </c>
    </row>
    <row r="78" spans="1:8" x14ac:dyDescent="0.25">
      <c r="A78" s="12"/>
      <c r="B78" s="13"/>
      <c r="C78" s="17"/>
      <c r="D78" s="13"/>
      <c r="E78" s="13"/>
      <c r="F78" s="15"/>
      <c r="G78" s="15"/>
      <c r="H78" s="16">
        <f>IF(C78="",0,IF(OR(A78="",A78="DNS"),0,IF(A78="DNF",1,IF(ISNUMBER(A78),IF($H$38="J",IF(A78&lt;=11,VLOOKUP(A78,Punten!$A$2:$C$31,3,FALSE()),1),IF(A78&lt;=30,VLOOKUP(A78,Punten!$A$2:$C$31,2,FALSE()),1)),0))))</f>
        <v>0</v>
      </c>
    </row>
    <row r="79" spans="1:8" x14ac:dyDescent="0.25">
      <c r="A79" s="12"/>
      <c r="B79" s="13"/>
      <c r="C79" s="17"/>
      <c r="D79" s="13"/>
      <c r="E79" s="13"/>
      <c r="F79" s="15"/>
      <c r="G79" s="15"/>
      <c r="H79" s="16">
        <f>IF(C79="",0,IF(OR(A79="",A79="DNS"),0,IF(A79="DNF",1,IF(ISNUMBER(A79),IF($H$38="J",IF(A79&lt;=11,VLOOKUP(A79,Punten!$A$2:$C$31,3,FALSE()),1),IF(A79&lt;=30,VLOOKUP(A79,Punten!$A$2:$C$31,2,FALSE()),1)),0))))</f>
        <v>0</v>
      </c>
    </row>
    <row r="80" spans="1:8" x14ac:dyDescent="0.25">
      <c r="A80" s="12"/>
      <c r="B80" s="13"/>
      <c r="C80" s="17"/>
      <c r="D80" s="13"/>
      <c r="E80" s="13"/>
      <c r="F80" s="15"/>
      <c r="G80" s="15"/>
      <c r="H80" s="16">
        <f>IF(C80="",0,IF(OR(A80="",A80="DNS"),0,IF(A80="DNF",1,IF(ISNUMBER(A80),IF($H$38="J",IF(A80&lt;=11,VLOOKUP(A80,Punten!$A$2:$C$31,3,FALSE()),1),IF(A80&lt;=30,VLOOKUP(A80,Punten!$A$2:$C$31,2,FALSE()),1)),0))))</f>
        <v>0</v>
      </c>
    </row>
    <row r="81" spans="1:8" x14ac:dyDescent="0.25">
      <c r="A81" s="12"/>
      <c r="B81" s="13"/>
      <c r="C81" s="17"/>
      <c r="D81" s="13"/>
      <c r="E81" s="13"/>
      <c r="F81" s="15"/>
      <c r="G81" s="15"/>
      <c r="H81" s="16">
        <f>IF(C81="",0,IF(OR(A81="",A81="DNS"),0,IF(A81="DNF",1,IF(ISNUMBER(A81),IF($H$38="J",IF(A81&lt;=11,VLOOKUP(A81,Punten!$A$2:$C$31,3,FALSE()),1),IF(A81&lt;=30,VLOOKUP(A81,Punten!$A$2:$C$31,2,FALSE()),1)),0))))</f>
        <v>0</v>
      </c>
    </row>
    <row r="82" spans="1:8" x14ac:dyDescent="0.25">
      <c r="A82" s="12"/>
      <c r="B82" s="13"/>
      <c r="C82" s="17"/>
      <c r="D82" s="13"/>
      <c r="E82" s="13"/>
      <c r="F82" s="15"/>
      <c r="G82" s="15"/>
      <c r="H82" s="16">
        <f>IF(C82="",0,IF(OR(A82="",A82="DNS"),0,IF(A82="DNF",1,IF(ISNUMBER(A82),IF($H$38="J",IF(A82&lt;=11,VLOOKUP(A82,Punten!$A$2:$C$31,3,FALSE()),1),IF(A82&lt;=30,VLOOKUP(A82,Punten!$A$2:$C$31,2,FALSE()),1)),0))))</f>
        <v>0</v>
      </c>
    </row>
    <row r="83" spans="1:8" x14ac:dyDescent="0.25">
      <c r="A83" s="12"/>
      <c r="B83" s="13"/>
      <c r="C83" s="17"/>
      <c r="D83" s="13"/>
      <c r="E83" s="13"/>
      <c r="F83" s="15"/>
      <c r="G83" s="15"/>
      <c r="H83" s="16">
        <f>IF(C83="",0,IF(OR(A83="",A83="DNS"),0,IF(A83="DNF",1,IF(ISNUMBER(A83),IF($H$38="J",IF(A83&lt;=11,VLOOKUP(A83,Punten!$A$2:$C$31,3,FALSE()),1),IF(A83&lt;=30,VLOOKUP(A83,Punten!$A$2:$C$31,2,FALSE()),1)),0))))</f>
        <v>0</v>
      </c>
    </row>
    <row r="84" spans="1:8" x14ac:dyDescent="0.25">
      <c r="A84" s="12"/>
      <c r="B84" s="13"/>
      <c r="C84" s="17"/>
      <c r="D84" s="13"/>
      <c r="E84" s="13"/>
      <c r="F84" s="15"/>
      <c r="G84" s="15"/>
      <c r="H84" s="16">
        <f>IF(C84="",0,IF(OR(A84="",A84="DNS"),0,IF(A84="DNF",1,IF(ISNUMBER(A84),IF($H$38="J",IF(A84&lt;=11,VLOOKUP(A84,Punten!$A$2:$C$31,3,FALSE()),1),IF(A84&lt;=30,VLOOKUP(A84,Punten!$A$2:$C$31,2,FALSE()),1)),0))))</f>
        <v>0</v>
      </c>
    </row>
    <row r="85" spans="1:8" x14ac:dyDescent="0.25">
      <c r="A85" s="12"/>
      <c r="B85" s="13"/>
      <c r="C85" s="17"/>
      <c r="D85" s="13"/>
      <c r="E85" s="13"/>
      <c r="F85" s="15"/>
      <c r="G85" s="15"/>
      <c r="H85" s="16">
        <f>IF(C85="",0,IF(OR(A85="",A85="DNS"),0,IF(A85="DNF",1,IF(ISNUMBER(A85),IF($H$38="J",IF(A85&lt;=11,VLOOKUP(A85,Punten!$A$2:$C$31,3,FALSE()),1),IF(A85&lt;=30,VLOOKUP(A85,Punten!$A$2:$C$31,2,FALSE()),1)),0))))</f>
        <v>0</v>
      </c>
    </row>
    <row r="86" spans="1:8" x14ac:dyDescent="0.25">
      <c r="A86" s="12"/>
      <c r="B86" s="13"/>
      <c r="C86" s="17"/>
      <c r="D86" s="13"/>
      <c r="E86" s="13"/>
      <c r="F86" s="15"/>
      <c r="G86" s="15"/>
      <c r="H86" s="16">
        <f>IF(C86="",0,IF(OR(A86="",A86="DNS"),0,IF(A86="DNF",1,IF(ISNUMBER(A86),IF($H$38="J",IF(A86&lt;=11,VLOOKUP(A86,Punten!$A$2:$C$31,3,FALSE()),1),IF(A86&lt;=30,VLOOKUP(A86,Punten!$A$2:$C$31,2,FALSE()),1)),0))))</f>
        <v>0</v>
      </c>
    </row>
    <row r="87" spans="1:8" x14ac:dyDescent="0.25">
      <c r="A87" s="12"/>
      <c r="B87" s="13"/>
      <c r="C87" s="17"/>
      <c r="D87" s="13"/>
      <c r="E87" s="13"/>
      <c r="F87" s="15"/>
      <c r="G87" s="15"/>
      <c r="H87" s="16">
        <f>IF(C87="",0,IF(OR(A87="",A87="DNS"),0,IF(A87="DNF",1,IF(ISNUMBER(A87),IF($H$38="J",IF(A87&lt;=11,VLOOKUP(A87,Punten!$A$2:$C$31,3,FALSE()),1),IF(A87&lt;=30,VLOOKUP(A87,Punten!$A$2:$C$31,2,FALSE()),1)),0))))</f>
        <v>0</v>
      </c>
    </row>
    <row r="88" spans="1:8" x14ac:dyDescent="0.25">
      <c r="A88" s="12"/>
      <c r="B88" s="13"/>
      <c r="C88" s="17"/>
      <c r="D88" s="13"/>
      <c r="E88" s="13"/>
      <c r="F88" s="15"/>
      <c r="G88" s="15"/>
      <c r="H88" s="16">
        <f>IF(C88="",0,IF(OR(A88="",A88="DNS"),0,IF(A88="DNF",1,IF(ISNUMBER(A88),IF($H$38="J",IF(A88&lt;=11,VLOOKUP(A88,Punten!$A$2:$C$31,3,FALSE()),1),IF(A88&lt;=30,VLOOKUP(A88,Punten!$A$2:$C$31,2,FALSE()),1)),0))))</f>
        <v>0</v>
      </c>
    </row>
    <row r="89" spans="1:8" x14ac:dyDescent="0.25">
      <c r="A89" s="12"/>
      <c r="B89" s="13"/>
      <c r="C89" s="17"/>
      <c r="D89" s="13"/>
      <c r="E89" s="13"/>
      <c r="F89" s="15"/>
      <c r="G89" s="15"/>
      <c r="H89" s="16">
        <f>IF(C89="",0,IF(OR(A89="",A89="DNS"),0,IF(A89="DNF",1,IF(ISNUMBER(A89),IF($H$38="J",IF(A89&lt;=11,VLOOKUP(A89,Punten!$A$2:$C$31,3,FALSE()),1),IF(A89&lt;=30,VLOOKUP(A89,Punten!$A$2:$C$31,2,FALSE()),1)),0))))</f>
        <v>0</v>
      </c>
    </row>
    <row r="90" spans="1:8" x14ac:dyDescent="0.25">
      <c r="A90" s="12"/>
      <c r="B90" s="13"/>
      <c r="C90" s="17"/>
      <c r="D90" s="13"/>
      <c r="E90" s="13"/>
      <c r="F90" s="15"/>
      <c r="G90" s="15"/>
      <c r="H90" s="16">
        <f>IF(C90="",0,IF(OR(A90="",A90="DNS"),0,IF(A90="DNF",1,IF(ISNUMBER(A90),IF($H$38="J",IF(A90&lt;=11,VLOOKUP(A90,Punten!$A$2:$C$31,3,FALSE()),1),IF(A90&lt;=30,VLOOKUP(A90,Punten!$A$2:$C$31,2,FALSE()),1)),0))))</f>
        <v>0</v>
      </c>
    </row>
    <row r="91" spans="1:8" x14ac:dyDescent="0.25">
      <c r="A91" s="12"/>
      <c r="B91" s="13"/>
      <c r="C91" s="17"/>
      <c r="D91" s="13"/>
      <c r="E91" s="13"/>
      <c r="F91" s="15"/>
      <c r="G91" s="15"/>
      <c r="H91" s="16">
        <f>IF(C91="",0,IF(OR(A91="",A91="DNS"),0,IF(A91="DNF",1,IF(ISNUMBER(A91),IF($H$38="J",IF(A91&lt;=11,VLOOKUP(A91,Punten!$A$2:$C$31,3,FALSE()),1),IF(A91&lt;=30,VLOOKUP(A91,Punten!$A$2:$C$31,2,FALSE()),1)),0))))</f>
        <v>0</v>
      </c>
    </row>
    <row r="92" spans="1:8" x14ac:dyDescent="0.25">
      <c r="A92" s="12"/>
      <c r="B92" s="13"/>
      <c r="C92" s="17"/>
      <c r="D92" s="13"/>
      <c r="E92" s="13"/>
      <c r="F92" s="15"/>
      <c r="G92" s="15"/>
      <c r="H92" s="16">
        <f>IF(C92="",0,IF(OR(A92="",A92="DNS"),0,IF(A92="DNF",1,IF(ISNUMBER(A92),IF($H$38="J",IF(A92&lt;=11,VLOOKUP(A92,Punten!$A$2:$C$31,3,FALSE()),1),IF(A92&lt;=30,VLOOKUP(A92,Punten!$A$2:$C$31,2,FALSE()),1)),0))))</f>
        <v>0</v>
      </c>
    </row>
    <row r="93" spans="1:8" x14ac:dyDescent="0.25">
      <c r="A93" s="12"/>
      <c r="B93" s="13"/>
      <c r="C93" s="17"/>
      <c r="D93" s="13"/>
      <c r="E93" s="13"/>
      <c r="F93" s="15"/>
      <c r="G93" s="15"/>
      <c r="H93" s="16">
        <f>IF(C93="",0,IF(OR(A93="",A93="DNS"),0,IF(A93="DNF",1,IF(ISNUMBER(A93),IF($H$38="J",IF(A93&lt;=11,VLOOKUP(A93,Punten!$A$2:$C$31,3,FALSE()),1),IF(A93&lt;=30,VLOOKUP(A93,Punten!$A$2:$C$31,2,FALSE()),1)),0))))</f>
        <v>0</v>
      </c>
    </row>
    <row r="94" spans="1:8" x14ac:dyDescent="0.25">
      <c r="A94" s="12"/>
      <c r="B94" s="13"/>
      <c r="C94" s="17"/>
      <c r="D94" s="13"/>
      <c r="E94" s="13"/>
      <c r="F94" s="15"/>
      <c r="G94" s="15"/>
      <c r="H94" s="16">
        <f>IF(C94="",0,IF(OR(A94="",A94="DNS"),0,IF(A94="DNF",1,IF(ISNUMBER(A94),IF($H$38="J",IF(A94&lt;=11,VLOOKUP(A94,Punten!$A$2:$C$31,3,FALSE()),1),IF(A94&lt;=30,VLOOKUP(A94,Punten!$A$2:$C$31,2,FALSE()),1)),0))))</f>
        <v>0</v>
      </c>
    </row>
    <row r="95" spans="1:8" x14ac:dyDescent="0.25">
      <c r="A95" s="12"/>
      <c r="B95" s="13"/>
      <c r="C95" s="17"/>
      <c r="D95" s="13"/>
      <c r="E95" s="13"/>
      <c r="F95" s="15"/>
      <c r="G95" s="15"/>
      <c r="H95" s="16">
        <f>IF(C95="",0,IF(OR(A95="",A95="DNS"),0,IF(A95="DNF",1,IF(ISNUMBER(A95),IF($H$38="J",IF(A95&lt;=11,VLOOKUP(A95,Punten!$A$2:$C$31,3,FALSE()),1),IF(A95&lt;=30,VLOOKUP(A95,Punten!$A$2:$C$31,2,FALSE()),1)),0))))</f>
        <v>0</v>
      </c>
    </row>
    <row r="96" spans="1:8" x14ac:dyDescent="0.25">
      <c r="A96" s="12"/>
      <c r="B96" s="13"/>
      <c r="C96" s="17"/>
      <c r="D96" s="13"/>
      <c r="E96" s="13"/>
      <c r="F96" s="15"/>
      <c r="G96" s="15"/>
      <c r="H96" s="16">
        <f>IF(C96="",0,IF(OR(A96="",A96="DNS"),0,IF(A96="DNF",1,IF(ISNUMBER(A96),IF($H$38="J",IF(A96&lt;=11,VLOOKUP(A96,Punten!$A$2:$C$31,3,FALSE()),1),IF(A96&lt;=30,VLOOKUP(A96,Punten!$A$2:$C$31,2,FALSE()),1)),0))))</f>
        <v>0</v>
      </c>
    </row>
    <row r="97" spans="1:8" x14ac:dyDescent="0.25">
      <c r="A97" s="12"/>
      <c r="B97" s="13"/>
      <c r="C97" s="17"/>
      <c r="D97" s="13"/>
      <c r="E97" s="13"/>
      <c r="F97" s="15"/>
      <c r="G97" s="15"/>
      <c r="H97" s="16">
        <f>IF(C97="",0,IF(OR(A97="",A97="DNS"),0,IF(A97="DNF",1,IF(ISNUMBER(A97),IF($H$38="J",IF(A97&lt;=11,VLOOKUP(A97,Punten!$A$2:$C$31,3,FALSE()),1),IF(A97&lt;=30,VLOOKUP(A97,Punten!$A$2:$C$31,2,FALSE()),1)),0))))</f>
        <v>0</v>
      </c>
    </row>
    <row r="98" spans="1:8" x14ac:dyDescent="0.25">
      <c r="A98" s="12"/>
      <c r="B98" s="13"/>
      <c r="C98" s="17"/>
      <c r="D98" s="13"/>
      <c r="E98" s="13"/>
      <c r="F98" s="15"/>
      <c r="G98" s="15"/>
      <c r="H98" s="16">
        <f>IF(C98="",0,IF(OR(A98="",A98="DNS"),0,IF(A98="DNF",1,IF(ISNUMBER(A98),IF($H$38="J",IF(A98&lt;=11,VLOOKUP(A98,Punten!$A$2:$C$31,3,FALSE()),1),IF(A98&lt;=30,VLOOKUP(A98,Punten!$A$2:$C$31,2,FALSE()),1)),0))))</f>
        <v>0</v>
      </c>
    </row>
    <row r="99" spans="1:8" x14ac:dyDescent="0.25">
      <c r="A99" s="12"/>
      <c r="B99" s="13"/>
      <c r="C99" s="17"/>
      <c r="D99" s="13"/>
      <c r="E99" s="13"/>
      <c r="F99" s="15"/>
      <c r="G99" s="15"/>
      <c r="H99" s="16">
        <f>IF(C99="",0,IF(OR(A99="",A99="DNS"),0,IF(A99="DNF",1,IF(ISNUMBER(A99),IF($H$38="J",IF(A99&lt;=11,VLOOKUP(A99,Punten!$A$2:$C$31,3,FALSE()),1),IF(A99&lt;=30,VLOOKUP(A99,Punten!$A$2:$C$31,2,FALSE()),1)),0))))</f>
        <v>0</v>
      </c>
    </row>
    <row r="100" spans="1:8" x14ac:dyDescent="0.25">
      <c r="A100" s="12"/>
      <c r="B100" s="13"/>
      <c r="C100" s="17"/>
      <c r="D100" s="13"/>
      <c r="E100" s="13"/>
      <c r="F100" s="15"/>
      <c r="G100" s="15"/>
      <c r="H100" s="16">
        <f>IF(C100="",0,IF(OR(A100="",A100="DNS"),0,IF(A100="DNF",1,IF(ISNUMBER(A100),IF($H$38="J",IF(A100&lt;=11,VLOOKUP(A100,Punten!$A$2:$C$31,3,FALSE()),1),IF(A100&lt;=30,VLOOKUP(A100,Punten!$A$2:$C$31,2,FALSE()),1)),0))))</f>
        <v>0</v>
      </c>
    </row>
    <row r="101" spans="1:8" x14ac:dyDescent="0.25">
      <c r="A101" s="12"/>
      <c r="B101" s="13"/>
      <c r="C101" s="17"/>
      <c r="D101" s="13"/>
      <c r="E101" s="13"/>
      <c r="F101" s="15"/>
      <c r="G101" s="15"/>
      <c r="H101" s="16">
        <f>IF(C101="",0,IF(OR(A101="",A101="DNS"),0,IF(A101="DNF",1,IF(ISNUMBER(A101),IF($H$38="J",IF(A101&lt;=11,VLOOKUP(A101,Punten!$A$2:$C$31,3,FALSE()),1),IF(A101&lt;=30,VLOOKUP(A101,Punten!$A$2:$C$31,2,FALSE()),1)),0))))</f>
        <v>0</v>
      </c>
    </row>
    <row r="102" spans="1:8" x14ac:dyDescent="0.25">
      <c r="A102" s="12"/>
      <c r="B102" s="13"/>
      <c r="C102" s="17"/>
      <c r="D102" s="13"/>
      <c r="E102" s="13"/>
      <c r="F102" s="15"/>
      <c r="G102" s="15"/>
      <c r="H102" s="16">
        <f>IF(C102="",0,IF(OR(A102="",A102="DNS"),0,IF(A102="DNF",1,IF(ISNUMBER(A102),IF($H$38="J",IF(A102&lt;=11,VLOOKUP(A102,Punten!$A$2:$C$31,3,FALSE()),1),IF(A102&lt;=30,VLOOKUP(A102,Punten!$A$2:$C$31,2,FALSE()),1)),0))))</f>
        <v>0</v>
      </c>
    </row>
    <row r="103" spans="1:8" x14ac:dyDescent="0.25">
      <c r="A103" s="12"/>
      <c r="B103" s="13"/>
      <c r="C103" s="17"/>
      <c r="D103" s="13"/>
      <c r="E103" s="13"/>
      <c r="F103" s="15"/>
      <c r="G103" s="15"/>
      <c r="H103" s="16">
        <f>IF(C103="",0,IF(OR(A103="",A103="DNS"),0,IF(A103="DNF",1,IF(ISNUMBER(A103),IF($H$38="J",IF(A103&lt;=11,VLOOKUP(A103,Punten!$A$2:$C$31,3,FALSE()),1),IF(A103&lt;=30,VLOOKUP(A103,Punten!$A$2:$C$31,2,FALSE()),1)),0))))</f>
        <v>0</v>
      </c>
    </row>
    <row r="104" spans="1:8" x14ac:dyDescent="0.25">
      <c r="A104" s="12"/>
      <c r="B104" s="13"/>
      <c r="C104" s="17"/>
      <c r="D104" s="13"/>
      <c r="E104" s="13"/>
      <c r="F104" s="15"/>
      <c r="G104" s="15"/>
      <c r="H104" s="16">
        <f>IF(C104="",0,IF(OR(A104="",A104="DNS"),0,IF(A104="DNF",1,IF(ISNUMBER(A104),IF($H$38="J",IF(A104&lt;=11,VLOOKUP(A104,Punten!$A$2:$C$31,3,FALSE()),1),IF(A104&lt;=30,VLOOKUP(A104,Punten!$A$2:$C$31,2,FALSE()),1)),0))))</f>
        <v>0</v>
      </c>
    </row>
    <row r="105" spans="1:8" x14ac:dyDescent="0.25">
      <c r="A105" s="12"/>
      <c r="B105" s="13"/>
      <c r="C105" s="17"/>
      <c r="D105" s="13"/>
      <c r="E105" s="13"/>
      <c r="F105" s="15"/>
      <c r="G105" s="15"/>
      <c r="H105" s="16">
        <f>IF(C105="",0,IF(OR(A105="",A105="DNS"),0,IF(A105="DNF",1,IF(ISNUMBER(A105),IF($H$38="J",IF(A105&lt;=11,VLOOKUP(A105,Punten!$A$2:$C$31,3,FALSE()),1),IF(A105&lt;=30,VLOOKUP(A105,Punten!$A$2:$C$31,2,FALSE()),1)),0))))</f>
        <v>0</v>
      </c>
    </row>
    <row r="106" spans="1:8" x14ac:dyDescent="0.25">
      <c r="A106" s="12"/>
      <c r="B106" s="13"/>
      <c r="C106" s="17"/>
      <c r="D106" s="13"/>
      <c r="E106" s="13"/>
      <c r="F106" s="15"/>
      <c r="G106" s="15"/>
      <c r="H106" s="16">
        <f>IF(C106="",0,IF(OR(A106="",A106="DNS"),0,IF(A106="DNF",1,IF(ISNUMBER(A106),IF($H$38="J",IF(A106&lt;=11,VLOOKUP(A106,Punten!$A$2:$C$31,3,FALSE()),1),IF(A106&lt;=30,VLOOKUP(A106,Punten!$A$2:$C$31,2,FALSE()),1)),0))))</f>
        <v>0</v>
      </c>
    </row>
    <row r="107" spans="1:8" x14ac:dyDescent="0.25">
      <c r="A107" s="12"/>
      <c r="B107" s="13"/>
      <c r="C107" s="17"/>
      <c r="D107" s="13"/>
      <c r="E107" s="13"/>
      <c r="F107" s="15"/>
      <c r="G107" s="15"/>
      <c r="H107" s="16">
        <f>IF(C107="",0,IF(OR(A107="",A107="DNS"),0,IF(A107="DNF",1,IF(ISNUMBER(A107),IF($H$38="J",IF(A107&lt;=11,VLOOKUP(A107,Punten!$A$2:$C$31,3,FALSE()),1),IF(A107&lt;=30,VLOOKUP(A107,Punten!$A$2:$C$31,2,FALSE()),1)),0))))</f>
        <v>0</v>
      </c>
    </row>
    <row r="108" spans="1:8" x14ac:dyDescent="0.25">
      <c r="A108" s="12"/>
      <c r="B108" s="13"/>
      <c r="C108" s="17"/>
      <c r="D108" s="13"/>
      <c r="E108" s="13"/>
      <c r="F108" s="15"/>
      <c r="G108" s="15"/>
      <c r="H108" s="16">
        <f>IF(C108="",0,IF(OR(A108="",A108="DNS"),0,IF(A108="DNF",1,IF(ISNUMBER(A108),IF($H$38="J",IF(A108&lt;=11,VLOOKUP(A108,Punten!$A$2:$C$31,3,FALSE()),1),IF(A108&lt;=30,VLOOKUP(A108,Punten!$A$2:$C$31,2,FALSE()),1)),0))))</f>
        <v>0</v>
      </c>
    </row>
    <row r="109" spans="1:8" x14ac:dyDescent="0.25">
      <c r="A109" s="12"/>
      <c r="B109" s="13"/>
      <c r="C109" s="17"/>
      <c r="D109" s="13"/>
      <c r="E109" s="13"/>
      <c r="F109" s="15"/>
      <c r="G109" s="15"/>
      <c r="H109" s="16">
        <f>IF(C109="",0,IF(OR(A109="",A109="DNS"),0,IF(A109="DNF",1,IF(ISNUMBER(A109),IF($H$38="J",IF(A109&lt;=11,VLOOKUP(A109,Punten!$A$2:$C$31,3,FALSE()),1),IF(A109&lt;=30,VLOOKUP(A109,Punten!$A$2:$C$31,2,FALSE()),1)),0))))</f>
        <v>0</v>
      </c>
    </row>
    <row r="110" spans="1:8" x14ac:dyDescent="0.25">
      <c r="A110" s="12"/>
      <c r="B110" s="13"/>
      <c r="C110" s="17"/>
      <c r="D110" s="13"/>
      <c r="E110" s="13"/>
      <c r="F110" s="15"/>
      <c r="G110" s="15"/>
      <c r="H110" s="16">
        <f>IF(C110="",0,IF(OR(A110="",A110="DNS"),0,IF(A110="DNF",1,IF(ISNUMBER(A110),IF($H$38="J",IF(A110&lt;=11,VLOOKUP(A110,Punten!$A$2:$C$31,3,FALSE()),1),IF(A110&lt;=30,VLOOKUP(A110,Punten!$A$2:$C$31,2,FALSE()),1)),0))))</f>
        <v>0</v>
      </c>
    </row>
    <row r="111" spans="1:8" x14ac:dyDescent="0.25">
      <c r="A111" s="12"/>
      <c r="B111" s="13"/>
      <c r="C111" s="17"/>
      <c r="D111" s="13"/>
      <c r="E111" s="13"/>
      <c r="F111" s="15"/>
      <c r="G111" s="15"/>
      <c r="H111" s="16">
        <f>IF(C111="",0,IF(OR(A111="",A111="DNS"),0,IF(A111="DNF",1,IF(ISNUMBER(A111),IF($H$38="J",IF(A111&lt;=11,VLOOKUP(A111,Punten!$A$2:$C$31,3,FALSE()),1),IF(A111&lt;=30,VLOOKUP(A111,Punten!$A$2:$C$31,2,FALSE()),1)),0))))</f>
        <v>0</v>
      </c>
    </row>
    <row r="112" spans="1:8" x14ac:dyDescent="0.25">
      <c r="A112" s="12"/>
      <c r="B112" s="13"/>
      <c r="C112" s="17"/>
      <c r="D112" s="13"/>
      <c r="E112" s="13"/>
      <c r="F112" s="15"/>
      <c r="G112" s="15"/>
      <c r="H112" s="16">
        <f>IF(C112="",0,IF(OR(A112="",A112="DNS"),0,IF(A112="DNF",1,IF(ISNUMBER(A112),IF($H$38="J",IF(A112&lt;=11,VLOOKUP(A112,Punten!$A$2:$C$31,3,FALSE()),1),IF(A112&lt;=30,VLOOKUP(A112,Punten!$A$2:$C$31,2,FALSE()),1)),0))))</f>
        <v>0</v>
      </c>
    </row>
    <row r="113" spans="1:8" x14ac:dyDescent="0.25">
      <c r="A113" s="12"/>
      <c r="B113" s="13"/>
      <c r="C113" s="17"/>
      <c r="D113" s="13"/>
      <c r="E113" s="13"/>
      <c r="F113" s="15"/>
      <c r="G113" s="15"/>
      <c r="H113" s="16">
        <f>IF(C113="",0,IF(OR(A113="",A113="DNS"),0,IF(A113="DNF",1,IF(ISNUMBER(A113),IF($H$38="J",IF(A113&lt;=11,VLOOKUP(A113,Punten!$A$2:$C$31,3,FALSE()),1),IF(A113&lt;=30,VLOOKUP(A113,Punten!$A$2:$C$31,2,FALSE()),1)),0))))</f>
        <v>0</v>
      </c>
    </row>
    <row r="114" spans="1:8" x14ac:dyDescent="0.25">
      <c r="A114" s="12"/>
      <c r="B114" s="13"/>
      <c r="C114" s="17"/>
      <c r="D114" s="13"/>
      <c r="E114" s="13"/>
      <c r="F114" s="15"/>
      <c r="G114" s="15"/>
      <c r="H114" s="16">
        <f>IF(C114="",0,IF(OR(A114="",A114="DNS"),0,IF(A114="DNF",1,IF(ISNUMBER(A114),IF($H$38="J",IF(A114&lt;=11,VLOOKUP(A114,Punten!$A$2:$C$31,3,FALSE()),1),IF(A114&lt;=30,VLOOKUP(A114,Punten!$A$2:$C$31,2,FALSE()),1)),0))))</f>
        <v>0</v>
      </c>
    </row>
    <row r="115" spans="1:8" x14ac:dyDescent="0.25">
      <c r="A115" s="12"/>
      <c r="B115" s="13"/>
      <c r="C115" s="17"/>
      <c r="D115" s="13"/>
      <c r="E115" s="13"/>
      <c r="F115" s="15"/>
      <c r="G115" s="15"/>
      <c r="H115" s="16">
        <f>IF(C115="",0,IF(OR(A115="",A115="DNS"),0,IF(A115="DNF",1,IF(ISNUMBER(A115),IF($H$38="J",IF(A115&lt;=11,VLOOKUP(A115,Punten!$A$2:$C$31,3,FALSE()),1),IF(A115&lt;=30,VLOOKUP(A115,Punten!$A$2:$C$31,2,FALSE()),1)),0))))</f>
        <v>0</v>
      </c>
    </row>
    <row r="116" spans="1:8" x14ac:dyDescent="0.25">
      <c r="A116" s="12"/>
      <c r="B116" s="13"/>
      <c r="C116" s="17"/>
      <c r="D116" s="13"/>
      <c r="E116" s="13"/>
      <c r="F116" s="15"/>
      <c r="G116" s="15"/>
      <c r="H116" s="16">
        <f>IF(C116="",0,IF(OR(A116="",A116="DNS"),0,IF(A116="DNF",1,IF(ISNUMBER(A116),IF($H$38="J",IF(A116&lt;=11,VLOOKUP(A116,Punten!$A$2:$C$31,3,FALSE()),1),IF(A116&lt;=30,VLOOKUP(A116,Punten!$A$2:$C$31,2,FALSE()),1)),0))))</f>
        <v>0</v>
      </c>
    </row>
    <row r="117" spans="1:8" x14ac:dyDescent="0.25">
      <c r="A117" s="12"/>
      <c r="B117" s="13"/>
      <c r="C117" s="17"/>
      <c r="D117" s="13"/>
      <c r="E117" s="13"/>
      <c r="F117" s="15"/>
      <c r="G117" s="15"/>
      <c r="H117" s="16">
        <f>IF(C117="",0,IF(OR(A117="",A117="DNS"),0,IF(A117="DNF",1,IF(ISNUMBER(A117),IF($H$38="J",IF(A117&lt;=11,VLOOKUP(A117,Punten!$A$2:$C$31,3,FALSE()),1),IF(A117&lt;=30,VLOOKUP(A117,Punten!$A$2:$C$31,2,FALSE()),1)),0))))</f>
        <v>0</v>
      </c>
    </row>
    <row r="118" spans="1:8" x14ac:dyDescent="0.25">
      <c r="A118" s="12"/>
      <c r="B118" s="13"/>
      <c r="C118" s="17"/>
      <c r="D118" s="13"/>
      <c r="E118" s="13"/>
      <c r="F118" s="15"/>
      <c r="G118" s="15"/>
      <c r="H118" s="16">
        <f>IF(C118="",0,IF(OR(A118="",A118="DNS"),0,IF(A118="DNF",1,IF(ISNUMBER(A118),IF($H$38="J",IF(A118&lt;=11,VLOOKUP(A118,Punten!$A$2:$C$31,3,FALSE()),1),IF(A118&lt;=30,VLOOKUP(A118,Punten!$A$2:$C$31,2,FALSE()),1)),0))))</f>
        <v>0</v>
      </c>
    </row>
    <row r="119" spans="1:8" x14ac:dyDescent="0.25">
      <c r="A119" s="12"/>
      <c r="B119" s="13"/>
      <c r="C119" s="17"/>
      <c r="D119" s="13"/>
      <c r="E119" s="13"/>
      <c r="F119" s="15"/>
      <c r="G119" s="15"/>
      <c r="H119" s="16">
        <f>IF(C119="",0,IF(OR(A119="",A119="DNS"),0,IF(A119="DNF",1,IF(ISNUMBER(A119),IF($H$38="J",IF(A119&lt;=11,VLOOKUP(A119,Punten!$A$2:$C$31,3,FALSE()),1),IF(A119&lt;=30,VLOOKUP(A119,Punten!$A$2:$C$31,2,FALSE()),1)),0))))</f>
        <v>0</v>
      </c>
    </row>
    <row r="120" spans="1:8" x14ac:dyDescent="0.25">
      <c r="A120" s="12"/>
      <c r="B120" s="13"/>
      <c r="C120" s="17"/>
      <c r="D120" s="13"/>
      <c r="E120" s="13"/>
      <c r="F120" s="15"/>
      <c r="G120" s="15"/>
      <c r="H120" s="16">
        <f>IF(C120="",0,IF(OR(A120="",A120="DNS"),0,IF(A120="DNF",1,IF(ISNUMBER(A120),IF($H$38="J",IF(A120&lt;=11,VLOOKUP(A120,Punten!$A$2:$C$31,3,FALSE()),1),IF(A120&lt;=30,VLOOKUP(A120,Punten!$A$2:$C$31,2,FALSE()),1)),0))))</f>
        <v>0</v>
      </c>
    </row>
    <row r="121" spans="1:8" x14ac:dyDescent="0.25">
      <c r="A121" s="12"/>
      <c r="B121" s="13"/>
      <c r="C121" s="17"/>
      <c r="D121" s="13"/>
      <c r="E121" s="13"/>
      <c r="F121" s="15"/>
      <c r="G121" s="15"/>
      <c r="H121" s="16">
        <f>IF(C121="",0,IF(OR(A121="",A121="DNS"),0,IF(A121="DNF",1,IF(ISNUMBER(A121),IF($H$38="J",IF(A121&lt;=11,VLOOKUP(A121,Punten!$A$2:$C$31,3,FALSE()),1),IF(A121&lt;=30,VLOOKUP(A121,Punten!$A$2:$C$31,2,FALSE()),1)),0))))</f>
        <v>0</v>
      </c>
    </row>
    <row r="122" spans="1:8" x14ac:dyDescent="0.25">
      <c r="A122" s="12"/>
      <c r="B122" s="13"/>
      <c r="C122" s="17"/>
      <c r="D122" s="13"/>
      <c r="E122" s="13"/>
      <c r="F122" s="15"/>
      <c r="G122" s="15"/>
      <c r="H122" s="16">
        <f>IF(C122="",0,IF(OR(A122="",A122="DNS"),0,IF(A122="DNF",1,IF(ISNUMBER(A122),IF($H$38="J",IF(A122&lt;=11,VLOOKUP(A122,Punten!$A$2:$C$31,3,FALSE()),1),IF(A122&lt;=30,VLOOKUP(A122,Punten!$A$2:$C$31,2,FALSE()),1)),0))))</f>
        <v>0</v>
      </c>
    </row>
    <row r="123" spans="1:8" x14ac:dyDescent="0.25">
      <c r="A123" s="12"/>
      <c r="B123" s="13"/>
      <c r="C123" s="17"/>
      <c r="D123" s="13"/>
      <c r="E123" s="13"/>
      <c r="F123" s="15"/>
      <c r="G123" s="15"/>
      <c r="H123" s="16">
        <f>IF(C123="",0,IF(OR(A123="",A123="DNS"),0,IF(A123="DNF",1,IF(ISNUMBER(A123),IF($H$38="J",IF(A123&lt;=11,VLOOKUP(A123,Punten!$A$2:$C$31,3,FALSE()),1),IF(A123&lt;=30,VLOOKUP(A123,Punten!$A$2:$C$31,2,FALSE()),1)),0))))</f>
        <v>0</v>
      </c>
    </row>
    <row r="124" spans="1:8" x14ac:dyDescent="0.25">
      <c r="A124" s="12"/>
      <c r="B124" s="13"/>
      <c r="C124" s="17"/>
      <c r="D124" s="13"/>
      <c r="E124" s="13"/>
      <c r="F124" s="15"/>
      <c r="G124" s="15"/>
      <c r="H124" s="16">
        <f>IF(C124="",0,IF(OR(A124="",A124="DNS"),0,IF(A124="DNF",1,IF(ISNUMBER(A124),IF($H$38="J",IF(A124&lt;=11,VLOOKUP(A124,Punten!$A$2:$C$31,3,FALSE()),1),IF(A124&lt;=30,VLOOKUP(A124,Punten!$A$2:$C$31,2,FALSE()),1)),0))))</f>
        <v>0</v>
      </c>
    </row>
    <row r="125" spans="1:8" x14ac:dyDescent="0.25">
      <c r="A125" s="12"/>
      <c r="B125" s="13"/>
      <c r="C125" s="17"/>
      <c r="D125" s="13"/>
      <c r="E125" s="13"/>
      <c r="F125" s="15"/>
      <c r="G125" s="15"/>
      <c r="H125" s="16">
        <f>IF(C125="",0,IF(OR(A125="",A125="DNS"),0,IF(A125="DNF",1,IF(ISNUMBER(A125),IF($H$38="J",IF(A125&lt;=11,VLOOKUP(A125,Punten!$A$2:$C$31,3,FALSE()),1),IF(A125&lt;=30,VLOOKUP(A125,Punten!$A$2:$C$31,2,FALSE()),1)),0))))</f>
        <v>0</v>
      </c>
    </row>
    <row r="126" spans="1:8" x14ac:dyDescent="0.25">
      <c r="A126" s="12"/>
      <c r="B126" s="13"/>
      <c r="C126" s="17"/>
      <c r="D126" s="13"/>
      <c r="E126" s="13"/>
      <c r="F126" s="15"/>
      <c r="G126" s="15"/>
      <c r="H126" s="16">
        <f>IF(C126="",0,IF(OR(A126="",A126="DNS"),0,IF(A126="DNF",1,IF(ISNUMBER(A126),IF($H$38="J",IF(A126&lt;=11,VLOOKUP(A126,Punten!$A$2:$C$31,3,FALSE()),1),IF(A126&lt;=30,VLOOKUP(A126,Punten!$A$2:$C$31,2,FALSE()),1)),0))))</f>
        <v>0</v>
      </c>
    </row>
    <row r="127" spans="1:8" x14ac:dyDescent="0.25">
      <c r="A127" s="12"/>
      <c r="B127" s="13"/>
      <c r="C127" s="17"/>
      <c r="D127" s="13"/>
      <c r="E127" s="13"/>
      <c r="F127" s="15"/>
      <c r="G127" s="15"/>
      <c r="H127" s="16">
        <f>IF(C127="",0,IF(OR(A127="",A127="DNS"),0,IF(A127="DNF",1,IF(ISNUMBER(A127),IF($H$38="J",IF(A127&lt;=11,VLOOKUP(A127,Punten!$A$2:$C$31,3,FALSE()),1),IF(A127&lt;=30,VLOOKUP(A127,Punten!$A$2:$C$31,2,FALSE()),1)),0))))</f>
        <v>0</v>
      </c>
    </row>
    <row r="128" spans="1:8" x14ac:dyDescent="0.25">
      <c r="A128" s="12"/>
      <c r="B128" s="13"/>
      <c r="C128" s="17"/>
      <c r="D128" s="13"/>
      <c r="E128" s="13"/>
      <c r="F128" s="15"/>
      <c r="G128" s="15"/>
      <c r="H128" s="16">
        <f>IF(C128="",0,IF(OR(A128="",A128="DNS"),0,IF(A128="DNF",1,IF(ISNUMBER(A128),IF($H$38="J",IF(A128&lt;=11,VLOOKUP(A128,Punten!$A$2:$C$31,3,FALSE()),1),IF(A128&lt;=30,VLOOKUP(A128,Punten!$A$2:$C$31,2,FALSE()),1)),0))))</f>
        <v>0</v>
      </c>
    </row>
    <row r="129" spans="1:8" x14ac:dyDescent="0.25">
      <c r="A129" s="12"/>
      <c r="B129" s="13"/>
      <c r="C129" s="17"/>
      <c r="D129" s="13"/>
      <c r="E129" s="13"/>
      <c r="F129" s="15"/>
      <c r="G129" s="15"/>
      <c r="H129" s="16">
        <f>IF(C129="",0,IF(OR(A129="",A129="DNS"),0,IF(A129="DNF",1,IF(ISNUMBER(A129),IF($H$38="J",IF(A129&lt;=11,VLOOKUP(A129,Punten!$A$2:$C$31,3,FALSE()),1),IF(A129&lt;=30,VLOOKUP(A129,Punten!$A$2:$C$31,2,FALSE()),1)),0))))</f>
        <v>0</v>
      </c>
    </row>
    <row r="130" spans="1:8" x14ac:dyDescent="0.25">
      <c r="A130" s="12"/>
      <c r="B130" s="13"/>
      <c r="C130" s="17"/>
      <c r="D130" s="13"/>
      <c r="E130" s="13"/>
      <c r="F130" s="15"/>
      <c r="G130" s="15"/>
      <c r="H130" s="16">
        <f>IF(C130="",0,IF(OR(A130="",A130="DNS"),0,IF(A130="DNF",1,IF(ISNUMBER(A130),IF($H$38="J",IF(A130&lt;=11,VLOOKUP(A130,Punten!$A$2:$C$31,3,FALSE()),1),IF(A130&lt;=30,VLOOKUP(A130,Punten!$A$2:$C$31,2,FALSE()),1)),0))))</f>
        <v>0</v>
      </c>
    </row>
    <row r="131" spans="1:8" x14ac:dyDescent="0.25">
      <c r="A131" s="12"/>
      <c r="B131" s="13"/>
      <c r="C131" s="17"/>
      <c r="D131" s="13"/>
      <c r="E131" s="13"/>
      <c r="F131" s="15"/>
      <c r="G131" s="15"/>
      <c r="H131" s="16">
        <f>IF(C131="",0,IF(OR(A131="",A131="DNS"),0,IF(A131="DNF",1,IF(ISNUMBER(A131),IF($H$38="J",IF(A131&lt;=11,VLOOKUP(A131,Punten!$A$2:$C$31,3,FALSE()),1),IF(A131&lt;=30,VLOOKUP(A131,Punten!$A$2:$C$31,2,FALSE()),1)),0))))</f>
        <v>0</v>
      </c>
    </row>
    <row r="132" spans="1:8" x14ac:dyDescent="0.25">
      <c r="A132" s="12"/>
      <c r="B132" s="13"/>
      <c r="C132" s="17"/>
      <c r="D132" s="13"/>
      <c r="E132" s="13"/>
      <c r="F132" s="15"/>
      <c r="G132" s="15"/>
      <c r="H132" s="16">
        <f>IF(C132="",0,IF(OR(A132="",A132="DNS"),0,IF(A132="DNF",1,IF(ISNUMBER(A132),IF($H$38="J",IF(A132&lt;=11,VLOOKUP(A132,Punten!$A$2:$C$31,3,FALSE()),1),IF(A132&lt;=30,VLOOKUP(A132,Punten!$A$2:$C$31,2,FALSE()),1)),0))))</f>
        <v>0</v>
      </c>
    </row>
    <row r="133" spans="1:8" x14ac:dyDescent="0.25">
      <c r="A133" s="12"/>
      <c r="B133" s="13"/>
      <c r="C133" s="17"/>
      <c r="D133" s="13"/>
      <c r="E133" s="13"/>
      <c r="F133" s="15"/>
      <c r="G133" s="15"/>
      <c r="H133" s="16">
        <f>IF(C133="",0,IF(OR(A133="",A133="DNS"),0,IF(A133="DNF",1,IF(ISNUMBER(A133),IF($H$38="J",IF(A133&lt;=11,VLOOKUP(A133,Punten!$A$2:$C$31,3,FALSE()),1),IF(A133&lt;=30,VLOOKUP(A133,Punten!$A$2:$C$31,2,FALSE()),1)),0))))</f>
        <v>0</v>
      </c>
    </row>
    <row r="134" spans="1:8" x14ac:dyDescent="0.25">
      <c r="A134" s="12"/>
      <c r="B134" s="13"/>
      <c r="C134" s="17"/>
      <c r="D134" s="13"/>
      <c r="E134" s="13"/>
      <c r="F134" s="15"/>
      <c r="G134" s="15"/>
      <c r="H134" s="16">
        <f>IF(C134="",0,IF(OR(A134="",A134="DNS"),0,IF(A134="DNF",1,IF(ISNUMBER(A134),IF($H$38="J",IF(A134&lt;=11,VLOOKUP(A134,Punten!$A$2:$C$31,3,FALSE()),1),IF(A134&lt;=30,VLOOKUP(A134,Punten!$A$2:$C$31,2,FALSE()),1)),0))))</f>
        <v>0</v>
      </c>
    </row>
    <row r="135" spans="1:8" x14ac:dyDescent="0.25">
      <c r="A135" s="12"/>
      <c r="B135" s="13"/>
      <c r="C135" s="17"/>
      <c r="D135" s="13"/>
      <c r="E135" s="13"/>
      <c r="F135" s="15"/>
      <c r="G135" s="15"/>
      <c r="H135" s="16">
        <f>IF(C135="",0,IF(OR(A135="",A135="DNS"),0,IF(A135="DNF",1,IF(ISNUMBER(A135),IF($H$38="J",IF(A135&lt;=11,VLOOKUP(A135,Punten!$A$2:$C$31,3,FALSE()),1),IF(A135&lt;=30,VLOOKUP(A135,Punten!$A$2:$C$31,2,FALSE()),1)),0))))</f>
        <v>0</v>
      </c>
    </row>
    <row r="136" spans="1:8" x14ac:dyDescent="0.25">
      <c r="A136" s="12"/>
      <c r="B136" s="13"/>
      <c r="C136" s="17"/>
      <c r="D136" s="13"/>
      <c r="E136" s="13"/>
      <c r="F136" s="15"/>
      <c r="G136" s="15"/>
      <c r="H136" s="16">
        <f>IF(C136="",0,IF(OR(A136="",A136="DNS"),0,IF(A136="DNF",1,IF(ISNUMBER(A136),IF($H$38="J",IF(A136&lt;=11,VLOOKUP(A136,Punten!$A$2:$C$31,3,FALSE()),1),IF(A136&lt;=30,VLOOKUP(A136,Punten!$A$2:$C$31,2,FALSE()),1)),0))))</f>
        <v>0</v>
      </c>
    </row>
    <row r="137" spans="1:8" x14ac:dyDescent="0.25">
      <c r="A137" s="12"/>
      <c r="B137" s="13"/>
      <c r="C137" s="17"/>
      <c r="D137" s="13"/>
      <c r="E137" s="13"/>
      <c r="F137" s="15"/>
      <c r="G137" s="15"/>
      <c r="H137" s="16">
        <f>IF(C137="",0,IF(OR(A137="",A137="DNS"),0,IF(A137="DNF",1,IF(ISNUMBER(A137),IF($H$38="J",IF(A137&lt;=11,VLOOKUP(A137,Punten!$A$2:$C$31,3,FALSE()),1),IF(A137&lt;=30,VLOOKUP(A137,Punten!$A$2:$C$31,2,FALSE()),1)),0))))</f>
        <v>0</v>
      </c>
    </row>
    <row r="138" spans="1:8" x14ac:dyDescent="0.25">
      <c r="A138" s="12"/>
      <c r="B138" s="13"/>
      <c r="C138" s="17"/>
      <c r="D138" s="13"/>
      <c r="E138" s="13"/>
      <c r="F138" s="15"/>
      <c r="G138" s="15"/>
      <c r="H138" s="16">
        <f>IF(C138="",0,IF(OR(A138="",A138="DNS"),0,IF(A138="DNF",1,IF(ISNUMBER(A138),IF($H$38="J",IF(A138&lt;=11,VLOOKUP(A138,Punten!$A$2:$C$31,3,FALSE()),1),IF(A138&lt;=30,VLOOKUP(A138,Punten!$A$2:$C$31,2,FALSE()),1)),0))))</f>
        <v>0</v>
      </c>
    </row>
    <row r="139" spans="1:8" x14ac:dyDescent="0.25">
      <c r="A139" s="12"/>
      <c r="B139" s="13"/>
      <c r="C139" s="17"/>
      <c r="D139" s="13"/>
      <c r="E139" s="13"/>
      <c r="F139" s="15"/>
      <c r="G139" s="15"/>
      <c r="H139" s="16">
        <f>IF(C139="",0,IF(OR(A139="",A139="DNS"),0,IF(A139="DNF",1,IF(ISNUMBER(A139),IF($H$38="J",IF(A139&lt;=11,VLOOKUP(A139,Punten!$A$2:$C$31,3,FALSE()),1),IF(A139&lt;=30,VLOOKUP(A139,Punten!$A$2:$C$31,2,FALSE()),1)),0))))</f>
        <v>0</v>
      </c>
    </row>
  </sheetData>
  <mergeCells count="1">
    <mergeCell ref="A1:H1"/>
  </mergeCells>
  <pageMargins left="0.75" right="0.75" top="1" bottom="1" header="0.511811023622047" footer="0.511811023622047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6"/>
  <sheetViews>
    <sheetView zoomScaleNormal="100" workbookViewId="0"/>
  </sheetViews>
  <sheetFormatPr defaultColWidth="8.7109375" defaultRowHeight="15" x14ac:dyDescent="0.25"/>
  <cols>
    <col min="1" max="2" width="10" customWidth="1"/>
  </cols>
  <sheetData>
    <row r="1" spans="1:2" x14ac:dyDescent="0.25">
      <c r="A1" s="34" t="s">
        <v>25</v>
      </c>
      <c r="B1" s="34" t="s">
        <v>32</v>
      </c>
    </row>
    <row r="2" spans="1:2" x14ac:dyDescent="0.25">
      <c r="A2" s="13" t="s">
        <v>189</v>
      </c>
      <c r="B2" s="13">
        <v>5</v>
      </c>
    </row>
    <row r="3" spans="1:2" x14ac:dyDescent="0.25">
      <c r="A3" s="13" t="s">
        <v>190</v>
      </c>
      <c r="B3" s="13">
        <v>4</v>
      </c>
    </row>
    <row r="4" spans="1:2" x14ac:dyDescent="0.25">
      <c r="A4" s="13" t="s">
        <v>191</v>
      </c>
      <c r="B4" s="13">
        <v>3</v>
      </c>
    </row>
    <row r="5" spans="1:2" x14ac:dyDescent="0.25">
      <c r="A5" s="13" t="s">
        <v>192</v>
      </c>
      <c r="B5" s="13">
        <v>2</v>
      </c>
    </row>
    <row r="6" spans="1:2" x14ac:dyDescent="0.25">
      <c r="A6" s="13" t="s">
        <v>193</v>
      </c>
      <c r="B6" s="13">
        <v>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9"/>
  <sheetViews>
    <sheetView zoomScaleNormal="100" workbookViewId="0">
      <pane ySplit="1" topLeftCell="A2" activePane="bottomLeft" state="frozen"/>
      <selection pane="bottomLeft" activeCell="I49" sqref="I49"/>
    </sheetView>
  </sheetViews>
  <sheetFormatPr defaultColWidth="8.7109375" defaultRowHeight="15" x14ac:dyDescent="0.25"/>
  <cols>
    <col min="1" max="1" width="10" customWidth="1"/>
    <col min="2" max="2" width="14" customWidth="1"/>
    <col min="3" max="3" width="28" customWidth="1"/>
    <col min="4" max="5" width="14" customWidth="1"/>
    <col min="6" max="6" width="28" customWidth="1"/>
    <col min="7" max="7" width="14" customWidth="1"/>
    <col min="8" max="9" width="12" customWidth="1"/>
  </cols>
  <sheetData>
    <row r="1" spans="1:9" ht="18" customHeight="1" x14ac:dyDescent="0.25">
      <c r="A1" s="44" t="s">
        <v>97</v>
      </c>
      <c r="B1" s="44"/>
      <c r="C1" s="44"/>
      <c r="D1" s="44"/>
      <c r="E1" s="44"/>
      <c r="F1" s="44"/>
      <c r="G1" s="44"/>
      <c r="H1" s="44"/>
      <c r="I1" s="44"/>
    </row>
    <row r="2" spans="1:9" ht="16.5" customHeight="1" x14ac:dyDescent="0.25">
      <c r="A2" s="7" t="s">
        <v>22</v>
      </c>
      <c r="B2" s="8"/>
      <c r="C2" s="8"/>
      <c r="D2" s="8"/>
      <c r="E2" s="8"/>
      <c r="F2" s="8"/>
      <c r="G2" s="8"/>
      <c r="H2" s="9" t="s">
        <v>23</v>
      </c>
      <c r="I2" s="10" t="s">
        <v>24</v>
      </c>
    </row>
    <row r="3" spans="1:9" x14ac:dyDescent="0.25">
      <c r="A3" s="11" t="s">
        <v>25</v>
      </c>
      <c r="B3" s="11" t="s">
        <v>26</v>
      </c>
      <c r="C3" s="11" t="s">
        <v>27</v>
      </c>
      <c r="D3" s="11" t="s">
        <v>98</v>
      </c>
      <c r="E3" s="11" t="s">
        <v>28</v>
      </c>
      <c r="F3" s="11" t="s">
        <v>29</v>
      </c>
      <c r="G3" s="11" t="s">
        <v>30</v>
      </c>
      <c r="H3" s="11" t="s">
        <v>31</v>
      </c>
      <c r="I3" s="11" t="s">
        <v>32</v>
      </c>
    </row>
    <row r="4" spans="1:9" x14ac:dyDescent="0.25">
      <c r="A4" s="12">
        <v>1</v>
      </c>
      <c r="B4" s="13">
        <v>51</v>
      </c>
      <c r="C4" s="17" t="s">
        <v>99</v>
      </c>
      <c r="D4" s="13" t="s">
        <v>100</v>
      </c>
      <c r="E4" s="13" t="s">
        <v>49</v>
      </c>
      <c r="F4" s="13" t="s">
        <v>101</v>
      </c>
      <c r="G4" s="20">
        <v>4.98726851851852E-2</v>
      </c>
      <c r="H4" s="15" t="s">
        <v>102</v>
      </c>
      <c r="I4" s="16">
        <f>IF(C4="",0,IF(OR(A4="",A4="DNS"),0,IF(A4="DNF",1,IF(ISNUMBER(A4),IF($I$2="J",IF(A4&lt;=11,VLOOKUP(A4,Punten!$A$2:$C$31,3,FALSE()),1),IF(A4&lt;=30,VLOOKUP(A4,Punten!$A$2:$C$31,2,FALSE()),1)),0))))</f>
        <v>100.1</v>
      </c>
    </row>
    <row r="5" spans="1:9" x14ac:dyDescent="0.25">
      <c r="A5" s="12">
        <v>2</v>
      </c>
      <c r="B5" s="13">
        <v>31</v>
      </c>
      <c r="C5" s="17" t="s">
        <v>103</v>
      </c>
      <c r="D5" s="13" t="s">
        <v>100</v>
      </c>
      <c r="E5" s="13" t="s">
        <v>49</v>
      </c>
      <c r="F5" s="13" t="s">
        <v>101</v>
      </c>
      <c r="G5" s="20">
        <v>4.98726851851852E-2</v>
      </c>
      <c r="H5" s="15" t="s">
        <v>102</v>
      </c>
      <c r="I5" s="16">
        <f>IF(C5="",0,IF(OR(A5="",A5="DNS"),0,IF(A5="DNF",1,IF(ISNUMBER(A5),IF($I$2="J",IF(A5&lt;=11,VLOOKUP(A5,Punten!$A$2:$C$31,3,FALSE()),1),IF(A5&lt;=30,VLOOKUP(A5,Punten!$A$2:$C$31,2,FALSE()),1)),0))))</f>
        <v>90</v>
      </c>
    </row>
    <row r="6" spans="1:9" x14ac:dyDescent="0.25">
      <c r="A6" s="12">
        <v>3</v>
      </c>
      <c r="B6" s="13">
        <v>46</v>
      </c>
      <c r="C6" s="17" t="s">
        <v>41</v>
      </c>
      <c r="D6" s="13" t="s">
        <v>100</v>
      </c>
      <c r="E6" s="13" t="s">
        <v>34</v>
      </c>
      <c r="F6" s="13" t="s">
        <v>104</v>
      </c>
      <c r="G6" s="20">
        <v>5.0844907407407401E-2</v>
      </c>
      <c r="H6" s="15" t="str">
        <f t="array" ref="H6">+ 1:24</f>
        <v>Wedstrijd 2 — Vul de uitslag per klasse in</v>
      </c>
      <c r="I6" s="16">
        <f>IF(C6="",0,IF(OR(A6="",A6="DNS"),0,IF(A6="DNF",1,IF(ISNUMBER(A6),IF($I$2="J",IF(A6&lt;=11,VLOOKUP(A6,Punten!$A$2:$C$31,3,FALSE()),1),IF(A6&lt;=30,VLOOKUP(A6,Punten!$A$2:$C$31,2,FALSE()),1)),0))))</f>
        <v>85</v>
      </c>
    </row>
    <row r="7" spans="1:9" x14ac:dyDescent="0.25">
      <c r="A7" s="12">
        <v>4</v>
      </c>
      <c r="B7" s="13">
        <v>52</v>
      </c>
      <c r="C7" s="17" t="s">
        <v>105</v>
      </c>
      <c r="D7" s="13" t="s">
        <v>100</v>
      </c>
      <c r="E7" s="13" t="s">
        <v>106</v>
      </c>
      <c r="F7" s="13" t="s">
        <v>104</v>
      </c>
      <c r="G7" s="20">
        <v>5.0856481481481502E-2</v>
      </c>
      <c r="H7" s="15" t="str">
        <f t="array" ref="H7">+ 1:25</f>
        <v>Wedstrijd 2 — Vul de uitslag per klasse in</v>
      </c>
      <c r="I7" s="16">
        <f>IF(C7="",0,IF(OR(A7="",A7="DNS"),0,IF(A7="DNF",1,IF(ISNUMBER(A7),IF($I$2="J",IF(A7&lt;=11,VLOOKUP(A7,Punten!$A$2:$C$31,3,FALSE()),1),IF(A7&lt;=30,VLOOKUP(A7,Punten!$A$2:$C$31,2,FALSE()),1)),0))))</f>
        <v>80</v>
      </c>
    </row>
    <row r="8" spans="1:9" x14ac:dyDescent="0.25">
      <c r="A8" s="12">
        <v>5</v>
      </c>
      <c r="B8" s="13">
        <v>34</v>
      </c>
      <c r="C8" s="17" t="s">
        <v>37</v>
      </c>
      <c r="D8" s="13" t="s">
        <v>100</v>
      </c>
      <c r="E8" s="13" t="s">
        <v>34</v>
      </c>
      <c r="F8" s="13" t="s">
        <v>107</v>
      </c>
      <c r="G8" s="20">
        <v>5.0856481481481502E-2</v>
      </c>
      <c r="H8" s="15" t="str">
        <f t="array" ref="H8">+ 1:25</f>
        <v>Wedstrijd 2 — Vul de uitslag per klasse in</v>
      </c>
      <c r="I8" s="16">
        <f>IF(C8="",0,IF(OR(A8="",A8="DNS"),0,IF(A8="DNF",1,IF(ISNUMBER(A8),IF($I$2="J",IF(A8&lt;=11,VLOOKUP(A8,Punten!$A$2:$C$31,3,FALSE()),1),IF(A8&lt;=30,VLOOKUP(A8,Punten!$A$2:$C$31,2,FALSE()),1)),0))))</f>
        <v>75</v>
      </c>
    </row>
    <row r="9" spans="1:9" x14ac:dyDescent="0.25">
      <c r="A9" s="12">
        <v>6</v>
      </c>
      <c r="B9" s="13">
        <v>36</v>
      </c>
      <c r="C9" s="17" t="s">
        <v>39</v>
      </c>
      <c r="D9" s="13" t="s">
        <v>100</v>
      </c>
      <c r="E9" s="13" t="s">
        <v>34</v>
      </c>
      <c r="F9" s="13" t="s">
        <v>108</v>
      </c>
      <c r="G9" s="20">
        <v>5.0879629629629601E-2</v>
      </c>
      <c r="H9" s="15" t="str">
        <f t="array" ref="H9">+ 1:27</f>
        <v>Wedstrijd 2 — Vul de uitslag per klasse in</v>
      </c>
      <c r="I9" s="16">
        <f>IF(C9="",0,IF(OR(A9="",A9="DNS"),0,IF(A9="DNF",1,IF(ISNUMBER(A9),IF($I$2="J",IF(A9&lt;=11,VLOOKUP(A9,Punten!$A$2:$C$31,3,FALSE()),1),IF(A9&lt;=30,VLOOKUP(A9,Punten!$A$2:$C$31,2,FALSE()),1)),0))))</f>
        <v>70</v>
      </c>
    </row>
    <row r="10" spans="1:9" x14ac:dyDescent="0.25">
      <c r="A10" s="12">
        <v>7</v>
      </c>
      <c r="B10" s="13">
        <v>60</v>
      </c>
      <c r="C10" s="17" t="s">
        <v>109</v>
      </c>
      <c r="D10" s="13" t="s">
        <v>100</v>
      </c>
      <c r="E10" s="13" t="s">
        <v>49</v>
      </c>
      <c r="F10" s="13" t="s">
        <v>110</v>
      </c>
      <c r="G10" s="20">
        <v>5.0879629629629601E-2</v>
      </c>
      <c r="H10" s="15" t="str">
        <f t="array" ref="H10">+ 1:27</f>
        <v>Wedstrijd 2 — Vul de uitslag per klasse in</v>
      </c>
      <c r="I10" s="16">
        <f>IF(C10="",0,IF(OR(A10="",A10="DNS"),0,IF(A10="DNF",1,IF(ISNUMBER(A10),IF($I$2="J",IF(A10&lt;=11,VLOOKUP(A10,Punten!$A$2:$C$31,3,FALSE()),1),IF(A10&lt;=30,VLOOKUP(A10,Punten!$A$2:$C$31,2,FALSE()),1)),0))))</f>
        <v>66</v>
      </c>
    </row>
    <row r="11" spans="1:9" x14ac:dyDescent="0.25">
      <c r="A11" s="12">
        <v>8</v>
      </c>
      <c r="B11" s="13">
        <v>53</v>
      </c>
      <c r="C11" s="17" t="s">
        <v>111</v>
      </c>
      <c r="D11" s="13" t="s">
        <v>100</v>
      </c>
      <c r="E11" s="13" t="s">
        <v>49</v>
      </c>
      <c r="F11" s="13" t="s">
        <v>110</v>
      </c>
      <c r="G11" s="20">
        <v>5.0879629629629601E-2</v>
      </c>
      <c r="H11" s="15" t="str">
        <f t="array" ref="H11">+ 1:27</f>
        <v>Wedstrijd 2 — Vul de uitslag per klasse in</v>
      </c>
      <c r="I11" s="16">
        <f>IF(C11="",0,IF(OR(A11="",A11="DNS"),0,IF(A11="DNF",1,IF(ISNUMBER(A11),IF($I$2="J",IF(A11&lt;=11,VLOOKUP(A11,Punten!$A$2:$C$31,3,FALSE()),1),IF(A11&lt;=30,VLOOKUP(A11,Punten!$A$2:$C$31,2,FALSE()),1)),0))))</f>
        <v>62</v>
      </c>
    </row>
    <row r="12" spans="1:9" x14ac:dyDescent="0.25">
      <c r="A12" s="12">
        <v>9</v>
      </c>
      <c r="B12" s="13">
        <v>47</v>
      </c>
      <c r="C12" s="17" t="s">
        <v>43</v>
      </c>
      <c r="D12" s="13" t="s">
        <v>100</v>
      </c>
      <c r="E12" s="13" t="s">
        <v>34</v>
      </c>
      <c r="F12" s="13" t="s">
        <v>104</v>
      </c>
      <c r="G12" s="20">
        <v>5.0879629629629601E-2</v>
      </c>
      <c r="H12" s="15" t="str">
        <f t="array" ref="H12">+ 1:27</f>
        <v>Wedstrijd 2 — Vul de uitslag per klasse in</v>
      </c>
      <c r="I12" s="16">
        <f>IF(C12="",0,IF(OR(A12="",A12="DNS"),0,IF(A12="DNF",1,IF(ISNUMBER(A12),IF($I$2="J",IF(A12&lt;=11,VLOOKUP(A12,Punten!$A$2:$C$31,3,FALSE()),1),IF(A12&lt;=30,VLOOKUP(A12,Punten!$A$2:$C$31,2,FALSE()),1)),0))))</f>
        <v>58</v>
      </c>
    </row>
    <row r="13" spans="1:9" x14ac:dyDescent="0.25">
      <c r="A13" s="12">
        <v>10</v>
      </c>
      <c r="B13" s="13">
        <v>58</v>
      </c>
      <c r="C13" s="17" t="s">
        <v>112</v>
      </c>
      <c r="D13" s="13" t="s">
        <v>100</v>
      </c>
      <c r="E13" s="13" t="s">
        <v>49</v>
      </c>
      <c r="F13" s="13" t="s">
        <v>113</v>
      </c>
      <c r="G13" s="20">
        <v>5.0879629629629601E-2</v>
      </c>
      <c r="H13" s="15" t="str">
        <f t="array" ref="H13">+ 1:27</f>
        <v>Wedstrijd 2 — Vul de uitslag per klasse in</v>
      </c>
      <c r="I13" s="16">
        <f>IF(C13="",0,IF(OR(A13="",A13="DNS"),0,IF(A13="DNF",1,IF(ISNUMBER(A13),IF($I$2="J",IF(A13&lt;=11,VLOOKUP(A13,Punten!$A$2:$C$31,3,FALSE()),1),IF(A13&lt;=30,VLOOKUP(A13,Punten!$A$2:$C$31,2,FALSE()),1)),0))))</f>
        <v>54</v>
      </c>
    </row>
    <row r="14" spans="1:9" x14ac:dyDescent="0.25">
      <c r="A14" s="12">
        <v>11</v>
      </c>
      <c r="B14" s="13">
        <v>44</v>
      </c>
      <c r="C14" s="17" t="s">
        <v>50</v>
      </c>
      <c r="D14" s="13" t="s">
        <v>100</v>
      </c>
      <c r="E14" s="13" t="s">
        <v>49</v>
      </c>
      <c r="F14" s="13" t="s">
        <v>114</v>
      </c>
      <c r="G14" s="20">
        <v>5.0879629629629601E-2</v>
      </c>
      <c r="H14" s="15" t="str">
        <f t="array" ref="H14">+ 1:27</f>
        <v>Wedstrijd 2 — Vul de uitslag per klasse in</v>
      </c>
      <c r="I14" s="16">
        <f>IF(C14="",0,IF(OR(A14="",A14="DNS"),0,IF(A14="DNF",1,IF(ISNUMBER(A14),IF($I$2="J",IF(A14&lt;=11,VLOOKUP(A14,Punten!$A$2:$C$31,3,FALSE()),1),IF(A14&lt;=30,VLOOKUP(A14,Punten!$A$2:$C$31,2,FALSE()),1)),0))))</f>
        <v>50</v>
      </c>
    </row>
    <row r="15" spans="1:9" x14ac:dyDescent="0.25">
      <c r="A15" s="12">
        <v>12</v>
      </c>
      <c r="B15" s="13">
        <v>41</v>
      </c>
      <c r="C15" s="17" t="s">
        <v>115</v>
      </c>
      <c r="D15" s="13" t="s">
        <v>100</v>
      </c>
      <c r="E15" s="13" t="s">
        <v>34</v>
      </c>
      <c r="F15" s="13" t="s">
        <v>116</v>
      </c>
      <c r="G15" s="20">
        <v>5.0879629629629601E-2</v>
      </c>
      <c r="H15" s="15" t="str">
        <f t="array" ref="H15">+ 1:27</f>
        <v>Wedstrijd 2 — Vul de uitslag per klasse in</v>
      </c>
      <c r="I15" s="16">
        <f>IF(C15="",0,IF(OR(A15="",A15="DNS"),0,IF(A15="DNF",1,IF(ISNUMBER(A15),IF($I$2="J",IF(A15&lt;=11,VLOOKUP(A15,Punten!$A$2:$C$31,3,FALSE()),1),IF(A15&lt;=30,VLOOKUP(A15,Punten!$A$2:$C$31,2,FALSE()),1)),0))))</f>
        <v>47</v>
      </c>
    </row>
    <row r="16" spans="1:9" x14ac:dyDescent="0.25">
      <c r="A16" s="12">
        <v>13</v>
      </c>
      <c r="B16" s="13">
        <v>50</v>
      </c>
      <c r="C16" s="17" t="s">
        <v>57</v>
      </c>
      <c r="D16" s="13" t="s">
        <v>100</v>
      </c>
      <c r="E16" s="13" t="s">
        <v>34</v>
      </c>
      <c r="F16" s="13" t="s">
        <v>117</v>
      </c>
      <c r="G16" s="20">
        <v>5.0879629629629601E-2</v>
      </c>
      <c r="H16" s="15" t="str">
        <f t="array" ref="H16">+ 1:27</f>
        <v>Wedstrijd 2 — Vul de uitslag per klasse in</v>
      </c>
      <c r="I16" s="16">
        <f>IF(C16="",0,IF(OR(A16="",A16="DNS"),0,IF(A16="DNF",1,IF(ISNUMBER(A16),IF($I$2="J",IF(A16&lt;=11,VLOOKUP(A16,Punten!$A$2:$C$31,3,FALSE()),1),IF(A16&lt;=30,VLOOKUP(A16,Punten!$A$2:$C$31,2,FALSE()),1)),0))))</f>
        <v>44</v>
      </c>
    </row>
    <row r="17" spans="1:9" x14ac:dyDescent="0.25">
      <c r="A17" s="12">
        <v>14</v>
      </c>
      <c r="B17" s="13">
        <v>56</v>
      </c>
      <c r="C17" s="17" t="s">
        <v>118</v>
      </c>
      <c r="D17" s="13" t="s">
        <v>100</v>
      </c>
      <c r="E17" s="13" t="s">
        <v>49</v>
      </c>
      <c r="F17" s="13" t="s">
        <v>114</v>
      </c>
      <c r="G17" s="20">
        <v>5.0879629629629601E-2</v>
      </c>
      <c r="H17" s="15" t="str">
        <f t="array" ref="H17">+ 1:27</f>
        <v>Wedstrijd 2 — Vul de uitslag per klasse in</v>
      </c>
      <c r="I17" s="16">
        <f>IF(C17="",0,IF(OR(A17="",A17="DNS"),0,IF(A17="DNF",1,IF(ISNUMBER(A17),IF($I$2="J",IF(A17&lt;=11,VLOOKUP(A17,Punten!$A$2:$C$31,3,FALSE()),1),IF(A17&lt;=30,VLOOKUP(A17,Punten!$A$2:$C$31,2,FALSE()),1)),0))))</f>
        <v>41</v>
      </c>
    </row>
    <row r="18" spans="1:9" x14ac:dyDescent="0.25">
      <c r="A18" s="12">
        <v>15</v>
      </c>
      <c r="B18" s="13">
        <v>42</v>
      </c>
      <c r="C18" s="17" t="s">
        <v>52</v>
      </c>
      <c r="D18" s="13" t="s">
        <v>100</v>
      </c>
      <c r="E18" s="13" t="s">
        <v>34</v>
      </c>
      <c r="F18" s="13" t="s">
        <v>101</v>
      </c>
      <c r="G18" s="20">
        <v>5.0879629629629601E-2</v>
      </c>
      <c r="H18" s="15" t="str">
        <f t="array" ref="H18">+ 1:27</f>
        <v>Wedstrijd 2 — Vul de uitslag per klasse in</v>
      </c>
      <c r="I18" s="16">
        <f>IF(C18="",0,IF(OR(A18="",A18="DNS"),0,IF(A18="DNF",1,IF(ISNUMBER(A18),IF($I$2="J",IF(A18&lt;=11,VLOOKUP(A18,Punten!$A$2:$C$31,3,FALSE()),1),IF(A18&lt;=30,VLOOKUP(A18,Punten!$A$2:$C$31,2,FALSE()),1)),0))))</f>
        <v>38</v>
      </c>
    </row>
    <row r="19" spans="1:9" x14ac:dyDescent="0.25">
      <c r="A19" s="12">
        <v>16</v>
      </c>
      <c r="B19" s="13">
        <v>48</v>
      </c>
      <c r="C19" s="17" t="s">
        <v>119</v>
      </c>
      <c r="D19" s="13" t="s">
        <v>100</v>
      </c>
      <c r="E19" s="13" t="s">
        <v>49</v>
      </c>
      <c r="F19" s="13" t="s">
        <v>114</v>
      </c>
      <c r="G19" s="20">
        <v>5.0879629629629601E-2</v>
      </c>
      <c r="H19" s="15" t="str">
        <f t="array" ref="H19">+ 1:27</f>
        <v>Wedstrijd 2 — Vul de uitslag per klasse in</v>
      </c>
      <c r="I19" s="16">
        <f>IF(C19="",0,IF(OR(A19="",A19="DNS"),0,IF(A19="DNF",1,IF(ISNUMBER(A19),IF($I$2="J",IF(A19&lt;=11,VLOOKUP(A19,Punten!$A$2:$C$31,3,FALSE()),1),IF(A19&lt;=30,VLOOKUP(A19,Punten!$A$2:$C$31,2,FALSE()),1)),0))))</f>
        <v>35</v>
      </c>
    </row>
    <row r="20" spans="1:9" x14ac:dyDescent="0.25">
      <c r="A20" s="12">
        <v>17</v>
      </c>
      <c r="B20" s="13">
        <v>37</v>
      </c>
      <c r="C20" s="17" t="s">
        <v>120</v>
      </c>
      <c r="D20" s="13" t="s">
        <v>100</v>
      </c>
      <c r="E20" s="13" t="s">
        <v>34</v>
      </c>
      <c r="F20" s="13" t="s">
        <v>121</v>
      </c>
      <c r="G20" s="20">
        <v>5.0937499999999997E-2</v>
      </c>
      <c r="H20" s="15" t="str">
        <f t="array" ref="H20">+ 1:32</f>
        <v>Wedstrijd 2 — Vul de uitslag per klasse in</v>
      </c>
      <c r="I20" s="16">
        <f>IF(C20="",0,IF(OR(A20="",A20="DNS"),0,IF(A20="DNF",1,IF(ISNUMBER(A20),IF($I$2="J",IF(A20&lt;=11,VLOOKUP(A20,Punten!$A$2:$C$31,3,FALSE()),1),IF(A20&lt;=30,VLOOKUP(A20,Punten!$A$2:$C$31,2,FALSE()),1)),0))))</f>
        <v>32</v>
      </c>
    </row>
    <row r="21" spans="1:9" x14ac:dyDescent="0.25">
      <c r="A21" s="12">
        <v>18</v>
      </c>
      <c r="B21" s="13">
        <v>59</v>
      </c>
      <c r="C21" s="17" t="s">
        <v>60</v>
      </c>
      <c r="D21" s="13" t="s">
        <v>100</v>
      </c>
      <c r="E21" s="13" t="s">
        <v>34</v>
      </c>
      <c r="F21" s="13" t="s">
        <v>104</v>
      </c>
      <c r="G21" s="20">
        <v>5.0960648148148199E-2</v>
      </c>
      <c r="H21" s="15" t="str">
        <f t="array" ref="H21">+ 1:34</f>
        <v>Wedstrijd 2 — Vul de uitslag per klasse in</v>
      </c>
      <c r="I21" s="16">
        <f>IF(C21="",0,IF(OR(A21="",A21="DNS"),0,IF(A21="DNF",1,IF(ISNUMBER(A21),IF($I$2="J",IF(A21&lt;=11,VLOOKUP(A21,Punten!$A$2:$C$31,3,FALSE()),1),IF(A21&lt;=30,VLOOKUP(A21,Punten!$A$2:$C$31,2,FALSE()),1)),0))))</f>
        <v>29</v>
      </c>
    </row>
    <row r="22" spans="1:9" x14ac:dyDescent="0.25">
      <c r="A22" s="12">
        <v>19</v>
      </c>
      <c r="B22" s="13">
        <v>45</v>
      </c>
      <c r="C22" s="17" t="s">
        <v>122</v>
      </c>
      <c r="D22" s="13" t="s">
        <v>100</v>
      </c>
      <c r="E22" s="13" t="s">
        <v>49</v>
      </c>
      <c r="F22" s="13" t="s">
        <v>101</v>
      </c>
      <c r="G22" s="15" t="s">
        <v>102</v>
      </c>
      <c r="H22" s="15" t="s">
        <v>102</v>
      </c>
      <c r="I22" s="16">
        <f>IF(C22="",0,IF(OR(A22="",A22="DNS"),0,IF(A22="DNF",1,IF(ISNUMBER(A22),IF($I$2="J",IF(A22&lt;=11,VLOOKUP(A22,Punten!$A$2:$C$31,3,FALSE()),1),IF(A22&lt;=30,VLOOKUP(A22,Punten!$A$2:$C$31,2,FALSE()),1)),0))))</f>
        <v>26</v>
      </c>
    </row>
    <row r="23" spans="1:9" x14ac:dyDescent="0.25">
      <c r="A23" s="12">
        <v>20</v>
      </c>
      <c r="B23" s="13">
        <v>40</v>
      </c>
      <c r="C23" s="17" t="s">
        <v>74</v>
      </c>
      <c r="D23" s="13" t="s">
        <v>100</v>
      </c>
      <c r="E23" s="13" t="s">
        <v>34</v>
      </c>
      <c r="F23" s="13" t="s">
        <v>101</v>
      </c>
      <c r="G23" s="15" t="s">
        <v>102</v>
      </c>
      <c r="H23" s="15" t="s">
        <v>102</v>
      </c>
      <c r="I23" s="16">
        <f>IF(C23="",0,IF(OR(A23="",A23="DNS"),0,IF(A23="DNF",1,IF(ISNUMBER(A23),IF($I$2="J",IF(A23&lt;=11,VLOOKUP(A23,Punten!$A$2:$C$31,3,FALSE()),1),IF(A23&lt;=30,VLOOKUP(A23,Punten!$A$2:$C$31,2,FALSE()),1)),0))))</f>
        <v>24</v>
      </c>
    </row>
    <row r="24" spans="1:9" x14ac:dyDescent="0.25">
      <c r="A24" s="12">
        <v>21</v>
      </c>
      <c r="B24" s="13">
        <v>57</v>
      </c>
      <c r="C24" s="17" t="s">
        <v>123</v>
      </c>
      <c r="D24" s="13" t="s">
        <v>100</v>
      </c>
      <c r="E24" s="13" t="s">
        <v>49</v>
      </c>
      <c r="F24" s="13" t="s">
        <v>124</v>
      </c>
      <c r="G24" s="15" t="s">
        <v>102</v>
      </c>
      <c r="H24" s="15" t="s">
        <v>102</v>
      </c>
      <c r="I24" s="16">
        <f>IF(C24="",0,IF(OR(A24="",A24="DNS"),0,IF(A24="DNF",1,IF(ISNUMBER(A24),IF($I$2="J",IF(A24&lt;=11,VLOOKUP(A24,Punten!$A$2:$C$31,3,FALSE()),1),IF(A24&lt;=30,VLOOKUP(A24,Punten!$A$2:$C$31,2,FALSE()),1)),0))))</f>
        <v>22</v>
      </c>
    </row>
    <row r="25" spans="1:9" x14ac:dyDescent="0.25">
      <c r="A25" s="12">
        <v>22</v>
      </c>
      <c r="B25" s="13">
        <v>32</v>
      </c>
      <c r="C25" s="17" t="s">
        <v>48</v>
      </c>
      <c r="D25" s="13" t="s">
        <v>100</v>
      </c>
      <c r="E25" s="13" t="s">
        <v>49</v>
      </c>
      <c r="F25" s="13" t="s">
        <v>125</v>
      </c>
      <c r="G25" s="15" t="s">
        <v>102</v>
      </c>
      <c r="H25" s="15" t="s">
        <v>102</v>
      </c>
      <c r="I25" s="16">
        <f>IF(C25="",0,IF(OR(A25="",A25="DNS"),0,IF(A25="DNF",1,IF(ISNUMBER(A25),IF($I$2="J",IF(A25&lt;=11,VLOOKUP(A25,Punten!$A$2:$C$31,3,FALSE()),1),IF(A25&lt;=30,VLOOKUP(A25,Punten!$A$2:$C$31,2,FALSE()),1)),0))))</f>
        <v>20</v>
      </c>
    </row>
    <row r="26" spans="1:9" x14ac:dyDescent="0.25">
      <c r="A26" s="12">
        <v>23</v>
      </c>
      <c r="B26" s="13">
        <v>30</v>
      </c>
      <c r="C26" s="17" t="s">
        <v>66</v>
      </c>
      <c r="D26" s="13" t="s">
        <v>100</v>
      </c>
      <c r="E26" s="13" t="s">
        <v>49</v>
      </c>
      <c r="F26" s="13" t="s">
        <v>116</v>
      </c>
      <c r="G26" s="15" t="s">
        <v>102</v>
      </c>
      <c r="H26" s="15" t="s">
        <v>102</v>
      </c>
      <c r="I26" s="16">
        <f>IF(C26="",0,IF(OR(A26="",A26="DNS"),0,IF(A26="DNF",1,IF(ISNUMBER(A26),IF($I$2="J",IF(A26&lt;=11,VLOOKUP(A26,Punten!$A$2:$C$31,3,FALSE()),1),IF(A26&lt;=30,VLOOKUP(A26,Punten!$A$2:$C$31,2,FALSE()),1)),0))))</f>
        <v>16</v>
      </c>
    </row>
    <row r="27" spans="1:9" x14ac:dyDescent="0.25">
      <c r="A27" s="12" t="s">
        <v>65</v>
      </c>
      <c r="B27" s="13">
        <v>38</v>
      </c>
      <c r="C27" s="17" t="s">
        <v>126</v>
      </c>
      <c r="D27" s="13" t="s">
        <v>100</v>
      </c>
      <c r="E27" s="13" t="s">
        <v>49</v>
      </c>
      <c r="F27" s="13" t="s">
        <v>127</v>
      </c>
      <c r="G27" s="15" t="s">
        <v>102</v>
      </c>
      <c r="H27" s="15" t="s">
        <v>102</v>
      </c>
      <c r="I27" s="16">
        <f>IF(C27="",0,IF(OR(A27="",A27="DNS"),0,IF(A27="DNF",1,IF(ISNUMBER(A27),IF($I$2="J",IF(A27&lt;=11,VLOOKUP(A27,Punten!$A$2:$C$31,3,FALSE()),1),IF(A27&lt;=30,VLOOKUP(A27,Punten!$A$2:$C$31,2,FALSE()),1)),0))))</f>
        <v>1</v>
      </c>
    </row>
    <row r="28" spans="1:9" x14ac:dyDescent="0.25">
      <c r="A28" s="12" t="s">
        <v>65</v>
      </c>
      <c r="B28" s="13">
        <v>39</v>
      </c>
      <c r="C28" s="17" t="s">
        <v>36</v>
      </c>
      <c r="D28" s="13" t="s">
        <v>100</v>
      </c>
      <c r="E28" s="13" t="s">
        <v>34</v>
      </c>
      <c r="F28" s="13" t="s">
        <v>128</v>
      </c>
      <c r="G28" s="15" t="s">
        <v>102</v>
      </c>
      <c r="H28" s="15" t="s">
        <v>102</v>
      </c>
      <c r="I28" s="16">
        <f>IF(C28="",0,IF(OR(A28="",A28="DNS"),0,IF(A28="DNF",1,IF(ISNUMBER(A28),IF($I$2="J",IF(A28&lt;=11,VLOOKUP(A28,Punten!$A$2:$C$31,3,FALSE()),1),IF(A28&lt;=30,VLOOKUP(A28,Punten!$A$2:$C$31,2,FALSE()),1)),0))))</f>
        <v>1</v>
      </c>
    </row>
    <row r="29" spans="1:9" x14ac:dyDescent="0.25">
      <c r="A29" s="12" t="s">
        <v>65</v>
      </c>
      <c r="B29" s="13">
        <v>49</v>
      </c>
      <c r="C29" s="17" t="s">
        <v>42</v>
      </c>
      <c r="D29" s="13" t="s">
        <v>100</v>
      </c>
      <c r="E29" s="13" t="s">
        <v>34</v>
      </c>
      <c r="F29" s="13" t="s">
        <v>129</v>
      </c>
      <c r="G29" s="15" t="s">
        <v>102</v>
      </c>
      <c r="H29" s="15" t="s">
        <v>102</v>
      </c>
      <c r="I29" s="16">
        <f>IF(C29="",0,IF(OR(A29="",A29="DNS"),0,IF(A29="DNF",1,IF(ISNUMBER(A29),IF($I$2="J",IF(A29&lt;=11,VLOOKUP(A29,Punten!$A$2:$C$31,3,FALSE()),1),IF(A29&lt;=30,VLOOKUP(A29,Punten!$A$2:$C$31,2,FALSE()),1)),0))))</f>
        <v>1</v>
      </c>
    </row>
    <row r="30" spans="1:9" x14ac:dyDescent="0.25">
      <c r="A30" s="12"/>
      <c r="B30" s="13"/>
      <c r="C30" s="17"/>
      <c r="D30" s="13"/>
      <c r="E30" s="13"/>
      <c r="F30" s="13"/>
      <c r="G30" s="15"/>
      <c r="H30" s="15"/>
      <c r="I30" s="16">
        <f>IF(C30="",0,IF(OR(A30="",A30="DNS"),0,IF(A30="DNF",1,IF(ISNUMBER(A30),IF($I$2="J",IF(A30&lt;=11,VLOOKUP(A30,Punten!$A$2:$C$31,3,FALSE()),1),IF(A30&lt;=30,VLOOKUP(A30,Punten!$A$2:$C$31,2,FALSE()),1)),0))))</f>
        <v>0</v>
      </c>
    </row>
    <row r="31" spans="1:9" x14ac:dyDescent="0.25">
      <c r="A31" s="12"/>
      <c r="B31" s="13"/>
      <c r="C31" s="17"/>
      <c r="D31" s="13"/>
      <c r="E31" s="13"/>
      <c r="F31" s="13"/>
      <c r="G31" s="15"/>
      <c r="H31" s="15"/>
      <c r="I31" s="16">
        <f>IF(C31="",0,IF(OR(A31="",A31="DNS"),0,IF(A31="DNF",1,IF(ISNUMBER(A31),IF($I$2="J",IF(A31&lt;=11,VLOOKUP(A31,Punten!$A$2:$C$31,3,FALSE()),1),IF(A31&lt;=30,VLOOKUP(A31,Punten!$A$2:$C$31,2,FALSE()),1)),0))))</f>
        <v>0</v>
      </c>
    </row>
    <row r="32" spans="1:9" x14ac:dyDescent="0.25">
      <c r="A32" s="12"/>
      <c r="B32" s="13"/>
      <c r="C32" s="17"/>
      <c r="D32" s="13"/>
      <c r="E32" s="13"/>
      <c r="F32" s="13"/>
      <c r="G32" s="15"/>
      <c r="H32" s="15"/>
      <c r="I32" s="16">
        <f>IF(C32="",0,IF(OR(A32="",A32="DNS"),0,IF(A32="DNF",1,IF(ISNUMBER(A32),IF($I$2="J",IF(A32&lt;=11,VLOOKUP(A32,Punten!$A$2:$C$31,3,FALSE()),1),IF(A32&lt;=30,VLOOKUP(A32,Punten!$A$2:$C$31,2,FALSE()),1)),0))))</f>
        <v>0</v>
      </c>
    </row>
    <row r="33" spans="1:9" x14ac:dyDescent="0.25">
      <c r="A33" s="12"/>
      <c r="B33" s="13"/>
      <c r="C33" s="17"/>
      <c r="D33" s="13"/>
      <c r="E33" s="13"/>
      <c r="F33" s="13"/>
      <c r="G33" s="15"/>
      <c r="H33" s="15"/>
      <c r="I33" s="16">
        <f>IF(C33="",0,IF(OR(A33="",A33="DNS"),0,IF(A33="DNF",1,IF(ISNUMBER(A33),IF($I$2="J",IF(A33&lt;=11,VLOOKUP(A33,Punten!$A$2:$C$31,3,FALSE()),1),IF(A33&lt;=30,VLOOKUP(A33,Punten!$A$2:$C$31,2,FALSE()),1)),0))))</f>
        <v>0</v>
      </c>
    </row>
    <row r="34" spans="1:9" x14ac:dyDescent="0.25">
      <c r="A34" s="12"/>
      <c r="B34" s="13"/>
      <c r="C34" s="17"/>
      <c r="D34" s="13"/>
      <c r="E34" s="13"/>
      <c r="F34" s="13"/>
      <c r="G34" s="15"/>
      <c r="H34" s="15"/>
      <c r="I34" s="16">
        <f>IF(C34="",0,IF(OR(A34="",A34="DNS"),0,IF(A34="DNF",1,IF(ISNUMBER(A34),IF($I$2="J",IF(A34&lt;=11,VLOOKUP(A34,Punten!$A$2:$C$31,3,FALSE()),1),IF(A34&lt;=30,VLOOKUP(A34,Punten!$A$2:$C$31,2,FALSE()),1)),0))))</f>
        <v>0</v>
      </c>
    </row>
    <row r="35" spans="1:9" x14ac:dyDescent="0.25">
      <c r="A35" s="12"/>
      <c r="B35" s="13"/>
      <c r="C35" s="17"/>
      <c r="D35" s="13"/>
      <c r="E35" s="13"/>
      <c r="F35" s="13"/>
      <c r="G35" s="15"/>
      <c r="H35" s="15"/>
      <c r="I35" s="16">
        <f>IF(C35="",0,IF(OR(A35="",A35="DNS"),0,IF(A35="DNF",1,IF(ISNUMBER(A35),IF($I$2="J",IF(A35&lt;=11,VLOOKUP(A35,Punten!$A$2:$C$31,3,FALSE()),1),IF(A35&lt;=30,VLOOKUP(A35,Punten!$A$2:$C$31,2,FALSE()),1)),0))))</f>
        <v>0</v>
      </c>
    </row>
    <row r="36" spans="1:9" x14ac:dyDescent="0.25">
      <c r="A36" s="12"/>
      <c r="B36" s="13"/>
      <c r="C36" s="17"/>
      <c r="D36" s="13"/>
      <c r="E36" s="13"/>
      <c r="F36" s="13"/>
      <c r="G36" s="15"/>
      <c r="H36" s="15"/>
      <c r="I36" s="16">
        <f>IF(C36="",0,IF(OR(A36="",A36="DNS"),0,IF(A36="DNF",1,IF(ISNUMBER(A36),IF($I$2="J",IF(A36&lt;=11,VLOOKUP(A36,Punten!$A$2:$C$31,3,FALSE()),1),IF(A36&lt;=30,VLOOKUP(A36,Punten!$A$2:$C$31,2,FALSE()),1)),0))))</f>
        <v>0</v>
      </c>
    </row>
    <row r="37" spans="1:9" x14ac:dyDescent="0.25">
      <c r="A37" s="12"/>
      <c r="B37" s="13"/>
      <c r="C37" s="17"/>
      <c r="D37" s="13"/>
      <c r="E37" s="13"/>
      <c r="F37" s="13"/>
      <c r="G37" s="15"/>
      <c r="H37" s="15"/>
      <c r="I37" s="16">
        <f>IF(C37="",0,IF(OR(A37="",A37="DNS"),0,IF(A37="DNF",1,IF(ISNUMBER(A37),IF($I$2="J",IF(A37&lt;=11,VLOOKUP(A37,Punten!$A$2:$C$31,3,FALSE()),1),IF(A37&lt;=30,VLOOKUP(A37,Punten!$A$2:$C$31,2,FALSE()),1)),0))))</f>
        <v>0</v>
      </c>
    </row>
    <row r="38" spans="1:9" x14ac:dyDescent="0.25">
      <c r="A38" s="12"/>
      <c r="B38" s="13"/>
      <c r="C38" s="17"/>
      <c r="D38" s="13"/>
      <c r="E38" s="13"/>
      <c r="F38" s="13"/>
      <c r="G38" s="15"/>
      <c r="H38" s="15"/>
      <c r="I38" s="16">
        <f>IF(C38="",0,IF(OR(A38="",A38="DNS"),0,IF(A38="DNF",1,IF(ISNUMBER(A38),IF($I$2="J",IF(A38&lt;=11,VLOOKUP(A38,Punten!$A$2:$C$31,3,FALSE()),1),IF(A38&lt;=30,VLOOKUP(A38,Punten!$A$2:$C$31,2,FALSE()),1)),0))))</f>
        <v>0</v>
      </c>
    </row>
    <row r="41" spans="1:9" ht="16.5" customHeight="1" x14ac:dyDescent="0.25">
      <c r="A41" s="7" t="s">
        <v>130</v>
      </c>
      <c r="B41" s="8"/>
      <c r="C41" s="8"/>
      <c r="D41" s="8"/>
      <c r="E41" s="8"/>
      <c r="F41" s="8"/>
      <c r="G41" s="8"/>
      <c r="H41" s="9" t="s">
        <v>23</v>
      </c>
      <c r="I41" s="21" t="s">
        <v>131</v>
      </c>
    </row>
    <row r="42" spans="1:9" x14ac:dyDescent="0.25">
      <c r="A42" s="11" t="s">
        <v>25</v>
      </c>
      <c r="B42" s="11" t="s">
        <v>26</v>
      </c>
      <c r="C42" s="11" t="s">
        <v>27</v>
      </c>
      <c r="D42" s="11" t="s">
        <v>98</v>
      </c>
      <c r="E42" s="11" t="s">
        <v>28</v>
      </c>
      <c r="F42" s="11" t="s">
        <v>29</v>
      </c>
      <c r="G42" s="11" t="s">
        <v>30</v>
      </c>
      <c r="H42" s="11" t="s">
        <v>31</v>
      </c>
      <c r="I42" s="11" t="s">
        <v>32</v>
      </c>
    </row>
    <row r="43" spans="1:9" x14ac:dyDescent="0.25">
      <c r="A43" s="12">
        <v>1</v>
      </c>
      <c r="B43" s="13">
        <v>13</v>
      </c>
      <c r="C43" s="22" t="s">
        <v>132</v>
      </c>
      <c r="D43" s="13" t="s">
        <v>100</v>
      </c>
      <c r="E43" s="13" t="s">
        <v>133</v>
      </c>
      <c r="F43" s="13" t="s">
        <v>101</v>
      </c>
      <c r="G43" s="20">
        <v>3.5706018518518498E-2</v>
      </c>
      <c r="H43" s="15" t="s">
        <v>102</v>
      </c>
      <c r="I43" s="16">
        <v>30</v>
      </c>
    </row>
    <row r="44" spans="1:9" x14ac:dyDescent="0.25">
      <c r="A44" s="12">
        <v>2</v>
      </c>
      <c r="B44" s="13">
        <v>16</v>
      </c>
      <c r="C44" s="22" t="s">
        <v>134</v>
      </c>
      <c r="D44" s="13" t="s">
        <v>100</v>
      </c>
      <c r="E44" s="13" t="s">
        <v>133</v>
      </c>
      <c r="F44" s="13" t="s">
        <v>101</v>
      </c>
      <c r="G44" s="20">
        <v>3.5706018518518498E-2</v>
      </c>
      <c r="H44" s="15" t="s">
        <v>102</v>
      </c>
      <c r="I44" s="16">
        <v>25</v>
      </c>
    </row>
    <row r="45" spans="1:9" x14ac:dyDescent="0.25">
      <c r="A45" s="12">
        <v>3</v>
      </c>
      <c r="B45" s="13">
        <v>11</v>
      </c>
      <c r="C45" s="22" t="s">
        <v>135</v>
      </c>
      <c r="D45" s="13" t="s">
        <v>100</v>
      </c>
      <c r="E45" s="13" t="s">
        <v>133</v>
      </c>
      <c r="F45" s="13" t="s">
        <v>101</v>
      </c>
      <c r="G45" s="20">
        <v>3.5706018518518498E-2</v>
      </c>
      <c r="H45" s="15" t="s">
        <v>102</v>
      </c>
      <c r="I45" s="16">
        <v>20</v>
      </c>
    </row>
    <row r="46" spans="1:9" x14ac:dyDescent="0.25">
      <c r="A46" s="12">
        <v>4</v>
      </c>
      <c r="B46" s="13">
        <v>2</v>
      </c>
      <c r="C46" s="22" t="s">
        <v>136</v>
      </c>
      <c r="D46" s="13" t="s">
        <v>100</v>
      </c>
      <c r="E46" s="13" t="s">
        <v>133</v>
      </c>
      <c r="F46" s="13" t="s">
        <v>114</v>
      </c>
      <c r="G46" s="20">
        <v>3.5706018518518498E-2</v>
      </c>
      <c r="H46" s="15" t="s">
        <v>102</v>
      </c>
      <c r="I46" s="16">
        <v>17</v>
      </c>
    </row>
    <row r="47" spans="1:9" x14ac:dyDescent="0.25">
      <c r="A47" s="12">
        <v>5</v>
      </c>
      <c r="B47" s="13">
        <v>20</v>
      </c>
      <c r="C47" s="22" t="s">
        <v>137</v>
      </c>
      <c r="D47" s="13" t="s">
        <v>100</v>
      </c>
      <c r="E47" s="13" t="s">
        <v>133</v>
      </c>
      <c r="F47" s="13" t="s">
        <v>101</v>
      </c>
      <c r="G47" s="15" t="s">
        <v>102</v>
      </c>
      <c r="H47" s="15" t="s">
        <v>102</v>
      </c>
      <c r="I47" s="16">
        <v>14</v>
      </c>
    </row>
    <row r="48" spans="1:9" x14ac:dyDescent="0.25">
      <c r="A48" s="12">
        <v>6</v>
      </c>
      <c r="B48" s="13">
        <v>4</v>
      </c>
      <c r="C48" s="22" t="s">
        <v>138</v>
      </c>
      <c r="D48" s="13" t="s">
        <v>100</v>
      </c>
      <c r="E48" s="13" t="s">
        <v>133</v>
      </c>
      <c r="F48" s="13" t="s">
        <v>101</v>
      </c>
      <c r="G48" s="15" t="s">
        <v>102</v>
      </c>
      <c r="H48" s="15" t="s">
        <v>102</v>
      </c>
      <c r="I48" s="16">
        <v>12</v>
      </c>
    </row>
    <row r="49" spans="1:9" x14ac:dyDescent="0.25">
      <c r="A49" s="12" t="s">
        <v>65</v>
      </c>
      <c r="B49" s="13">
        <v>7</v>
      </c>
      <c r="C49" s="22" t="s">
        <v>139</v>
      </c>
      <c r="D49" s="13" t="s">
        <v>100</v>
      </c>
      <c r="E49" s="13" t="s">
        <v>133</v>
      </c>
      <c r="F49" s="13" t="s">
        <v>140</v>
      </c>
      <c r="G49" s="15" t="s">
        <v>102</v>
      </c>
      <c r="H49" s="15" t="s">
        <v>102</v>
      </c>
      <c r="I49" s="16">
        <f>IF(C49="",0,IF(OR(A49="",A49="DNS"),0,IF(A49="DNF",1,IF(ISNUMBER(A49),IF($I$41="J",IF(A49&lt;=11,VLOOKUP(A49,Punten!$A$2:$C$31,3,FALSE()),1),IF(A49&lt;=30,VLOOKUP(A49,Punten!$A$2:$C$31,2,FALSE()),1)),0))))</f>
        <v>1</v>
      </c>
    </row>
    <row r="50" spans="1:9" x14ac:dyDescent="0.25">
      <c r="A50" s="12"/>
      <c r="B50" s="13"/>
      <c r="C50" s="17"/>
      <c r="D50" s="13"/>
      <c r="E50" s="13"/>
      <c r="F50" s="13"/>
      <c r="G50" s="15"/>
      <c r="H50" s="15"/>
      <c r="I50" s="16"/>
    </row>
    <row r="51" spans="1:9" x14ac:dyDescent="0.25">
      <c r="A51" s="12"/>
      <c r="B51" s="13"/>
      <c r="C51" s="17"/>
      <c r="D51" s="13"/>
      <c r="E51" s="13"/>
      <c r="F51" s="13"/>
      <c r="G51" s="15"/>
      <c r="H51" s="15"/>
      <c r="I51" s="16"/>
    </row>
    <row r="52" spans="1:9" x14ac:dyDescent="0.25">
      <c r="A52" s="12"/>
      <c r="B52" s="13"/>
      <c r="C52" s="17"/>
      <c r="D52" s="13"/>
      <c r="E52" s="13"/>
      <c r="F52" s="13"/>
      <c r="G52" s="15"/>
      <c r="H52" s="15"/>
      <c r="I52" s="16">
        <f>IF(C52="",0,IF(OR(A52="",A52="DNS"),0,IF(A52="DNF",1,IF(ISNUMBER(A52),IF($I$41="J",IF(A52&lt;=11,VLOOKUP(A52,Punten!$A$2:$C$31,3,FALSE()),1),IF(A52&lt;=30,VLOOKUP(A52,Punten!$A$2:$C$31,2,FALSE()),1)),0))))</f>
        <v>0</v>
      </c>
    </row>
    <row r="53" spans="1:9" x14ac:dyDescent="0.25">
      <c r="A53" s="12"/>
      <c r="B53" s="13"/>
      <c r="C53" s="17"/>
      <c r="D53" s="13"/>
      <c r="E53" s="13"/>
      <c r="F53" s="13"/>
      <c r="G53" s="15"/>
      <c r="H53" s="15"/>
      <c r="I53" s="16">
        <f>IF(C53="",0,IF(OR(A53="",A53="DNS"),0,IF(A53="DNF",1,IF(ISNUMBER(A53),IF($I$41="J",IF(A53&lt;=11,VLOOKUP(A53,Punten!$A$2:$C$31,3,FALSE()),1),IF(A53&lt;=30,VLOOKUP(A53,Punten!$A$2:$C$31,2,FALSE()),1)),0))))</f>
        <v>0</v>
      </c>
    </row>
    <row r="54" spans="1:9" x14ac:dyDescent="0.25">
      <c r="A54" s="12"/>
      <c r="B54" s="13"/>
      <c r="C54" s="17"/>
      <c r="D54" s="13"/>
      <c r="E54" s="13"/>
      <c r="F54" s="13"/>
      <c r="G54" s="15"/>
      <c r="H54" s="15"/>
      <c r="I54" s="16">
        <f>IF(C54="",0,IF(OR(A54="",A54="DNS"),0,IF(A54="DNF",1,IF(ISNUMBER(A54),IF($I$41="J",IF(A54&lt;=11,VLOOKUP(A54,Punten!$A$2:$C$31,3,FALSE()),1),IF(A54&lt;=30,VLOOKUP(A54,Punten!$A$2:$C$31,2,FALSE()),1)),0))))</f>
        <v>0</v>
      </c>
    </row>
    <row r="55" spans="1:9" x14ac:dyDescent="0.25">
      <c r="A55" s="12"/>
      <c r="B55" s="13"/>
      <c r="C55" s="17"/>
      <c r="D55" s="13"/>
      <c r="E55" s="13"/>
      <c r="F55" s="13"/>
      <c r="G55" s="15"/>
      <c r="H55" s="15"/>
      <c r="I55" s="16">
        <f>IF(C55="",0,IF(OR(A55="",A55="DNS"),0,IF(A55="DNF",1,IF(ISNUMBER(A55),IF($I$41="J",IF(A55&lt;=11,VLOOKUP(A55,Punten!$A$2:$C$31,3,FALSE()),1),IF(A55&lt;=30,VLOOKUP(A55,Punten!$A$2:$C$31,2,FALSE()),1)),0))))</f>
        <v>0</v>
      </c>
    </row>
    <row r="56" spans="1:9" x14ac:dyDescent="0.25">
      <c r="A56" s="12"/>
      <c r="B56" s="13"/>
      <c r="C56" s="17"/>
      <c r="D56" s="13"/>
      <c r="E56" s="13"/>
      <c r="F56" s="13"/>
      <c r="G56" s="15"/>
      <c r="H56" s="15"/>
      <c r="I56" s="16">
        <f>IF(C56="",0,IF(OR(A56="",A56="DNS"),0,IF(A56="DNF",1,IF(ISNUMBER(A56),IF($I$41="J",IF(A56&lt;=11,VLOOKUP(A56,Punten!$A$2:$C$31,3,FALSE()),1),IF(A56&lt;=30,VLOOKUP(A56,Punten!$A$2:$C$31,2,FALSE()),1)),0))))</f>
        <v>0</v>
      </c>
    </row>
    <row r="57" spans="1:9" x14ac:dyDescent="0.25">
      <c r="A57" s="12"/>
      <c r="B57" s="13"/>
      <c r="C57" s="17"/>
      <c r="D57" s="13"/>
      <c r="E57" s="13"/>
      <c r="F57" s="13"/>
      <c r="G57" s="15"/>
      <c r="H57" s="15"/>
      <c r="I57" s="16">
        <f>IF(C57="",0,IF(OR(A57="",A57="DNS"),0,IF(A57="DNF",1,IF(ISNUMBER(A57),IF($I$41="J",IF(A57&lt;=11,VLOOKUP(A57,Punten!$A$2:$C$31,3,FALSE()),1),IF(A57&lt;=30,VLOOKUP(A57,Punten!$A$2:$C$31,2,FALSE()),1)),0))))</f>
        <v>0</v>
      </c>
    </row>
    <row r="58" spans="1:9" x14ac:dyDescent="0.25">
      <c r="A58" s="12"/>
      <c r="B58" s="13"/>
      <c r="C58" s="17"/>
      <c r="D58" s="13"/>
      <c r="E58" s="13"/>
      <c r="F58" s="13"/>
      <c r="G58" s="15"/>
      <c r="H58" s="15"/>
      <c r="I58" s="16">
        <f>IF(C58="",0,IF(OR(A58="",A58="DNS"),0,IF(A58="DNF",1,IF(ISNUMBER(A58),IF($I$41="J",IF(A58&lt;=11,VLOOKUP(A58,Punten!$A$2:$C$31,3,FALSE()),1),IF(A58&lt;=30,VLOOKUP(A58,Punten!$A$2:$C$31,2,FALSE()),1)),0))))</f>
        <v>0</v>
      </c>
    </row>
    <row r="59" spans="1:9" x14ac:dyDescent="0.25">
      <c r="A59" s="12"/>
      <c r="B59" s="13"/>
      <c r="C59" s="17"/>
      <c r="D59" s="13"/>
      <c r="E59" s="13"/>
      <c r="F59" s="13"/>
      <c r="G59" s="15"/>
      <c r="H59" s="15"/>
      <c r="I59" s="16">
        <f>IF(C59="",0,IF(OR(A59="",A59="DNS"),0,IF(A59="DNF",1,IF(ISNUMBER(A59),IF($I$41="J",IF(A59&lt;=11,VLOOKUP(A59,Punten!$A$2:$C$31,3,FALSE()),1),IF(A59&lt;=30,VLOOKUP(A59,Punten!$A$2:$C$31,2,FALSE()),1)),0))))</f>
        <v>0</v>
      </c>
    </row>
    <row r="60" spans="1:9" x14ac:dyDescent="0.25">
      <c r="A60" s="12"/>
      <c r="B60" s="13"/>
      <c r="C60" s="17"/>
      <c r="D60" s="13"/>
      <c r="E60" s="13"/>
      <c r="F60" s="13"/>
      <c r="G60" s="15"/>
      <c r="H60" s="15"/>
      <c r="I60" s="16">
        <f>IF(C60="",0,IF(OR(A60="",A60="DNS"),0,IF(A60="DNF",1,IF(ISNUMBER(A60),IF($I$41="J",IF(A60&lt;=11,VLOOKUP(A60,Punten!$A$2:$C$31,3,FALSE()),1),IF(A60&lt;=30,VLOOKUP(A60,Punten!$A$2:$C$31,2,FALSE()),1)),0))))</f>
        <v>0</v>
      </c>
    </row>
    <row r="61" spans="1:9" x14ac:dyDescent="0.25">
      <c r="A61" s="12"/>
      <c r="B61" s="13"/>
      <c r="C61" s="17"/>
      <c r="D61" s="13"/>
      <c r="E61" s="13"/>
      <c r="F61" s="13"/>
      <c r="G61" s="15"/>
      <c r="H61" s="15"/>
      <c r="I61" s="16">
        <f>IF(C61="",0,IF(OR(A61="",A61="DNS"),0,IF(A61="DNF",1,IF(ISNUMBER(A61),IF($I$41="J",IF(A61&lt;=11,VLOOKUP(A61,Punten!$A$2:$C$31,3,FALSE()),1),IF(A61&lt;=30,VLOOKUP(A61,Punten!$A$2:$C$31,2,FALSE()),1)),0))))</f>
        <v>0</v>
      </c>
    </row>
    <row r="62" spans="1:9" x14ac:dyDescent="0.25">
      <c r="A62" s="12"/>
      <c r="B62" s="13"/>
      <c r="C62" s="17"/>
      <c r="D62" s="13"/>
      <c r="E62" s="13"/>
      <c r="F62" s="13"/>
      <c r="G62" s="15"/>
      <c r="H62" s="15"/>
      <c r="I62" s="16">
        <f>IF(C62="",0,IF(OR(A62="",A62="DNS"),0,IF(A62="DNF",1,IF(ISNUMBER(A62),IF($I$41="J",IF(A62&lt;=11,VLOOKUP(A62,Punten!$A$2:$C$31,3,FALSE()),1),IF(A62&lt;=30,VLOOKUP(A62,Punten!$A$2:$C$31,2,FALSE()),1)),0))))</f>
        <v>0</v>
      </c>
    </row>
    <row r="63" spans="1:9" x14ac:dyDescent="0.25">
      <c r="A63" s="12"/>
      <c r="B63" s="13"/>
      <c r="C63" s="17"/>
      <c r="D63" s="13"/>
      <c r="E63" s="13"/>
      <c r="F63" s="13"/>
      <c r="G63" s="15"/>
      <c r="H63" s="15"/>
      <c r="I63" s="16">
        <f>IF(C63="",0,IF(OR(A63="",A63="DNS"),0,IF(A63="DNF",1,IF(ISNUMBER(A63),IF($I$41="J",IF(A63&lt;=11,VLOOKUP(A63,Punten!$A$2:$C$31,3,FALSE()),1),IF(A63&lt;=30,VLOOKUP(A63,Punten!$A$2:$C$31,2,FALSE()),1)),0))))</f>
        <v>0</v>
      </c>
    </row>
    <row r="64" spans="1:9" x14ac:dyDescent="0.25">
      <c r="A64" s="12"/>
      <c r="B64" s="13"/>
      <c r="C64" s="17"/>
      <c r="D64" s="13"/>
      <c r="E64" s="13"/>
      <c r="F64" s="13"/>
      <c r="G64" s="15"/>
      <c r="H64" s="15"/>
      <c r="I64" s="16">
        <f>IF(C64="",0,IF(OR(A64="",A64="DNS"),0,IF(A64="DNF",1,IF(ISNUMBER(A64),IF($I$41="J",IF(A64&lt;=11,VLOOKUP(A64,Punten!$A$2:$C$31,3,FALSE()),1),IF(A64&lt;=30,VLOOKUP(A64,Punten!$A$2:$C$31,2,FALSE()),1)),0))))</f>
        <v>0</v>
      </c>
    </row>
    <row r="65" spans="1:9" x14ac:dyDescent="0.25">
      <c r="A65" s="12"/>
      <c r="B65" s="13"/>
      <c r="C65" s="17"/>
      <c r="D65" s="13"/>
      <c r="E65" s="13"/>
      <c r="F65" s="13"/>
      <c r="G65" s="15"/>
      <c r="H65" s="15"/>
      <c r="I65" s="16">
        <f>IF(C65="",0,IF(OR(A65="",A65="DNS"),0,IF(A65="DNF",1,IF(ISNUMBER(A65),IF($I$41="J",IF(A65&lt;=11,VLOOKUP(A65,Punten!$A$2:$C$31,3,FALSE()),1),IF(A65&lt;=30,VLOOKUP(A65,Punten!$A$2:$C$31,2,FALSE()),1)),0))))</f>
        <v>0</v>
      </c>
    </row>
    <row r="66" spans="1:9" x14ac:dyDescent="0.25">
      <c r="A66" s="12"/>
      <c r="B66" s="13"/>
      <c r="C66" s="17"/>
      <c r="D66" s="13"/>
      <c r="E66" s="13"/>
      <c r="F66" s="13"/>
      <c r="G66" s="15"/>
      <c r="H66" s="15"/>
      <c r="I66" s="16">
        <f>IF(C66="",0,IF(OR(A66="",A66="DNS"),0,IF(A66="DNF",1,IF(ISNUMBER(A66),IF($I$41="J",IF(A66&lt;=11,VLOOKUP(A66,Punten!$A$2:$C$31,3,FALSE()),1),IF(A66&lt;=30,VLOOKUP(A66,Punten!$A$2:$C$31,2,FALSE()),1)),0))))</f>
        <v>0</v>
      </c>
    </row>
    <row r="67" spans="1:9" x14ac:dyDescent="0.25">
      <c r="A67" s="12"/>
      <c r="B67" s="13"/>
      <c r="C67" s="17"/>
      <c r="D67" s="13"/>
      <c r="E67" s="13"/>
      <c r="F67" s="13"/>
      <c r="G67" s="15"/>
      <c r="H67" s="15"/>
      <c r="I67" s="16">
        <f>IF(C67="",0,IF(OR(A67="",A67="DNS"),0,IF(A67="DNF",1,IF(ISNUMBER(A67),IF($I$41="J",IF(A67&lt;=11,VLOOKUP(A67,Punten!$A$2:$C$31,3,FALSE()),1),IF(A67&lt;=30,VLOOKUP(A67,Punten!$A$2:$C$31,2,FALSE()),1)),0))))</f>
        <v>0</v>
      </c>
    </row>
    <row r="68" spans="1:9" x14ac:dyDescent="0.25">
      <c r="A68" s="12"/>
      <c r="B68" s="13"/>
      <c r="C68" s="17"/>
      <c r="D68" s="13"/>
      <c r="E68" s="13"/>
      <c r="F68" s="13"/>
      <c r="G68" s="15"/>
      <c r="H68" s="15"/>
      <c r="I68" s="16">
        <f>IF(C68="",0,IF(OR(A68="",A68="DNS"),0,IF(A68="DNF",1,IF(ISNUMBER(A68),IF($I$41="J",IF(A68&lt;=11,VLOOKUP(A68,Punten!$A$2:$C$31,3,FALSE()),1),IF(A68&lt;=30,VLOOKUP(A68,Punten!$A$2:$C$31,2,FALSE()),1)),0))))</f>
        <v>0</v>
      </c>
    </row>
    <row r="69" spans="1:9" x14ac:dyDescent="0.25">
      <c r="A69" s="12"/>
      <c r="B69" s="13"/>
      <c r="C69" s="17"/>
      <c r="D69" s="13"/>
      <c r="E69" s="13"/>
      <c r="F69" s="13"/>
      <c r="G69" s="15"/>
      <c r="H69" s="15"/>
      <c r="I69" s="16">
        <f>IF(C69="",0,IF(OR(A69="",A69="DNS"),0,IF(A69="DNF",1,IF(ISNUMBER(A69),IF($I$41="J",IF(A69&lt;=11,VLOOKUP(A69,Punten!$A$2:$C$31,3,FALSE()),1),IF(A69&lt;=30,VLOOKUP(A69,Punten!$A$2:$C$31,2,FALSE()),1)),0))))</f>
        <v>0</v>
      </c>
    </row>
    <row r="70" spans="1:9" x14ac:dyDescent="0.25">
      <c r="A70" s="12"/>
      <c r="B70" s="13"/>
      <c r="C70" s="17"/>
      <c r="D70" s="13"/>
      <c r="E70" s="13"/>
      <c r="F70" s="13"/>
      <c r="G70" s="15"/>
      <c r="H70" s="15"/>
      <c r="I70" s="16">
        <f>IF(C70="",0,IF(OR(A70="",A70="DNS"),0,IF(A70="DNF",1,IF(ISNUMBER(A70),IF($I$41="J",IF(A70&lt;=11,VLOOKUP(A70,Punten!$A$2:$C$31,3,FALSE()),1),IF(A70&lt;=30,VLOOKUP(A70,Punten!$A$2:$C$31,2,FALSE()),1)),0))))</f>
        <v>0</v>
      </c>
    </row>
    <row r="71" spans="1:9" x14ac:dyDescent="0.25">
      <c r="A71" s="12"/>
      <c r="B71" s="13"/>
      <c r="C71" s="17"/>
      <c r="D71" s="13"/>
      <c r="E71" s="13"/>
      <c r="F71" s="13"/>
      <c r="G71" s="15"/>
      <c r="H71" s="15"/>
      <c r="I71" s="16">
        <f>IF(C71="",0,IF(OR(A71="",A71="DNS"),0,IF(A71="DNF",1,IF(ISNUMBER(A71),IF($I$41="J",IF(A71&lt;=11,VLOOKUP(A71,Punten!$A$2:$C$31,3,FALSE()),1),IF(A71&lt;=30,VLOOKUP(A71,Punten!$A$2:$C$31,2,FALSE()),1)),0))))</f>
        <v>0</v>
      </c>
    </row>
    <row r="72" spans="1:9" x14ac:dyDescent="0.25">
      <c r="A72" s="12"/>
      <c r="B72" s="13"/>
      <c r="C72" s="17"/>
      <c r="D72" s="13"/>
      <c r="E72" s="13"/>
      <c r="F72" s="13"/>
      <c r="G72" s="15"/>
      <c r="H72" s="15"/>
      <c r="I72" s="16">
        <f>IF(C72="",0,IF(OR(A72="",A72="DNS"),0,IF(A72="DNF",1,IF(ISNUMBER(A72),IF($I$41="J",IF(A72&lt;=11,VLOOKUP(A72,Punten!$A$2:$C$31,3,FALSE()),1),IF(A72&lt;=30,VLOOKUP(A72,Punten!$A$2:$C$31,2,FALSE()),1)),0))))</f>
        <v>0</v>
      </c>
    </row>
    <row r="73" spans="1:9" x14ac:dyDescent="0.25">
      <c r="A73" s="12"/>
      <c r="B73" s="13"/>
      <c r="C73" s="17"/>
      <c r="D73" s="13"/>
      <c r="E73" s="13"/>
      <c r="F73" s="13"/>
      <c r="G73" s="15"/>
      <c r="H73" s="15"/>
      <c r="I73" s="16">
        <f>IF(C73="",0,IF(OR(A73="",A73="DNS"),0,IF(A73="DNF",1,IF(ISNUMBER(A73),IF($I$41="J",IF(A73&lt;=11,VLOOKUP(A73,Punten!$A$2:$C$31,3,FALSE()),1),IF(A73&lt;=30,VLOOKUP(A73,Punten!$A$2:$C$31,2,FALSE()),1)),0))))</f>
        <v>0</v>
      </c>
    </row>
    <row r="74" spans="1:9" x14ac:dyDescent="0.25">
      <c r="A74" s="12"/>
      <c r="B74" s="13"/>
      <c r="C74" s="17"/>
      <c r="D74" s="13"/>
      <c r="E74" s="13"/>
      <c r="F74" s="13"/>
      <c r="G74" s="15"/>
      <c r="H74" s="15"/>
      <c r="I74" s="16">
        <f>IF(C74="",0,IF(OR(A74="",A74="DNS"),0,IF(A74="DNF",1,IF(ISNUMBER(A74),IF($I$41="J",IF(A74&lt;=11,VLOOKUP(A74,Punten!$A$2:$C$31,3,FALSE()),1),IF(A74&lt;=30,VLOOKUP(A74,Punten!$A$2:$C$31,2,FALSE()),1)),0))))</f>
        <v>0</v>
      </c>
    </row>
    <row r="75" spans="1:9" x14ac:dyDescent="0.25">
      <c r="A75" s="12"/>
      <c r="B75" s="13"/>
      <c r="C75" s="17"/>
      <c r="D75" s="13"/>
      <c r="E75" s="13"/>
      <c r="F75" s="13"/>
      <c r="G75" s="15"/>
      <c r="H75" s="15"/>
      <c r="I75" s="16">
        <f>IF(C75="",0,IF(OR(A75="",A75="DNS"),0,IF(A75="DNF",1,IF(ISNUMBER(A75),IF($I$41="J",IF(A75&lt;=11,VLOOKUP(A75,Punten!$A$2:$C$31,3,FALSE()),1),IF(A75&lt;=30,VLOOKUP(A75,Punten!$A$2:$C$31,2,FALSE()),1)),0))))</f>
        <v>0</v>
      </c>
    </row>
    <row r="76" spans="1:9" x14ac:dyDescent="0.25">
      <c r="A76" s="12"/>
      <c r="B76" s="13"/>
      <c r="C76" s="17"/>
      <c r="D76" s="13"/>
      <c r="E76" s="13"/>
      <c r="F76" s="13"/>
      <c r="G76" s="15"/>
      <c r="H76" s="15"/>
      <c r="I76" s="16">
        <f>IF(C76="",0,IF(OR(A76="",A76="DNS"),0,IF(A76="DNF",1,IF(ISNUMBER(A76),IF($I$41="J",IF(A76&lt;=11,VLOOKUP(A76,Punten!$A$2:$C$31,3,FALSE()),1),IF(A76&lt;=30,VLOOKUP(A76,Punten!$A$2:$C$31,2,FALSE()),1)),0))))</f>
        <v>0</v>
      </c>
    </row>
    <row r="77" spans="1:9" x14ac:dyDescent="0.25">
      <c r="A77" s="12"/>
      <c r="B77" s="13"/>
      <c r="C77" s="17"/>
      <c r="D77" s="13"/>
      <c r="E77" s="13"/>
      <c r="F77" s="13"/>
      <c r="G77" s="15"/>
      <c r="H77" s="15"/>
      <c r="I77" s="16">
        <f>IF(C77="",0,IF(OR(A77="",A77="DNS"),0,IF(A77="DNF",1,IF(ISNUMBER(A77),IF($I$41="J",IF(A77&lt;=11,VLOOKUP(A77,Punten!$A$2:$C$31,3,FALSE()),1),IF(A77&lt;=30,VLOOKUP(A77,Punten!$A$2:$C$31,2,FALSE()),1)),0))))</f>
        <v>0</v>
      </c>
    </row>
    <row r="78" spans="1:9" x14ac:dyDescent="0.25">
      <c r="A78" s="12"/>
      <c r="B78" s="13"/>
      <c r="C78" s="17"/>
      <c r="D78" s="13"/>
      <c r="E78" s="13"/>
      <c r="F78" s="13"/>
      <c r="G78" s="15"/>
      <c r="H78" s="15"/>
      <c r="I78" s="16">
        <f>IF(C78="",0,IF(OR(A78="",A78="DNS"),0,IF(A78="DNF",1,IF(ISNUMBER(A78),IF($I$41="J",IF(A78&lt;=11,VLOOKUP(A78,Punten!$A$2:$C$31,3,FALSE()),1),IF(A78&lt;=30,VLOOKUP(A78,Punten!$A$2:$C$31,2,FALSE()),1)),0))))</f>
        <v>0</v>
      </c>
    </row>
    <row r="79" spans="1:9" x14ac:dyDescent="0.25">
      <c r="A79" s="12"/>
      <c r="B79" s="13"/>
      <c r="C79" s="17"/>
      <c r="D79" s="13"/>
      <c r="E79" s="13"/>
      <c r="F79" s="13"/>
      <c r="G79" s="15"/>
      <c r="H79" s="15"/>
      <c r="I79" s="16">
        <f>IF(C79="",0,IF(OR(A79="",A79="DNS"),0,IF(A79="DNF",1,IF(ISNUMBER(A79),IF($I$41="J",IF(A79&lt;=11,VLOOKUP(A79,Punten!$A$2:$C$31,3,FALSE()),1),IF(A79&lt;=30,VLOOKUP(A79,Punten!$A$2:$C$31,2,FALSE()),1)),0))))</f>
        <v>0</v>
      </c>
    </row>
    <row r="80" spans="1:9" x14ac:dyDescent="0.25">
      <c r="A80" s="12"/>
      <c r="B80" s="13"/>
      <c r="C80" s="17"/>
      <c r="D80" s="13"/>
      <c r="E80" s="13"/>
      <c r="F80" s="13"/>
      <c r="G80" s="15"/>
      <c r="H80" s="15"/>
      <c r="I80" s="16">
        <f>IF(C80="",0,IF(OR(A80="",A80="DNS"),0,IF(A80="DNF",1,IF(ISNUMBER(A80),IF($I$41="J",IF(A80&lt;=11,VLOOKUP(A80,Punten!$A$2:$C$31,3,FALSE()),1),IF(A80&lt;=30,VLOOKUP(A80,Punten!$A$2:$C$31,2,FALSE()),1)),0))))</f>
        <v>0</v>
      </c>
    </row>
    <row r="81" spans="1:9" x14ac:dyDescent="0.25">
      <c r="A81" s="12"/>
      <c r="B81" s="13"/>
      <c r="C81" s="17"/>
      <c r="D81" s="13"/>
      <c r="E81" s="13"/>
      <c r="F81" s="13"/>
      <c r="G81" s="15"/>
      <c r="H81" s="15"/>
      <c r="I81" s="16">
        <f>IF(C81="",0,IF(OR(A81="",A81="DNS"),0,IF(A81="DNF",1,IF(ISNUMBER(A81),IF($I$41="J",IF(A81&lt;=11,VLOOKUP(A81,Punten!$A$2:$C$31,3,FALSE()),1),IF(A81&lt;=30,VLOOKUP(A81,Punten!$A$2:$C$31,2,FALSE()),1)),0))))</f>
        <v>0</v>
      </c>
    </row>
    <row r="82" spans="1:9" x14ac:dyDescent="0.25">
      <c r="A82" s="12"/>
      <c r="B82" s="13"/>
      <c r="C82" s="17"/>
      <c r="D82" s="13"/>
      <c r="E82" s="13"/>
      <c r="F82" s="13"/>
      <c r="G82" s="15"/>
      <c r="H82" s="15"/>
      <c r="I82" s="16">
        <f>IF(C82="",0,IF(OR(A82="",A82="DNS"),0,IF(A82="DNF",1,IF(ISNUMBER(A82),IF($I$41="J",IF(A82&lt;=11,VLOOKUP(A82,Punten!$A$2:$C$31,3,FALSE()),1),IF(A82&lt;=30,VLOOKUP(A82,Punten!$A$2:$C$31,2,FALSE()),1)),0))))</f>
        <v>0</v>
      </c>
    </row>
    <row r="83" spans="1:9" x14ac:dyDescent="0.25">
      <c r="A83" s="12"/>
      <c r="B83" s="13"/>
      <c r="C83" s="17"/>
      <c r="D83" s="13"/>
      <c r="E83" s="13"/>
      <c r="F83" s="13"/>
      <c r="G83" s="15"/>
      <c r="H83" s="15"/>
      <c r="I83" s="16">
        <f>IF(C83="",0,IF(OR(A83="",A83="DNS"),0,IF(A83="DNF",1,IF(ISNUMBER(A83),IF($I$41="J",IF(A83&lt;=11,VLOOKUP(A83,Punten!$A$2:$C$31,3,FALSE()),1),IF(A83&lt;=30,VLOOKUP(A83,Punten!$A$2:$C$31,2,FALSE()),1)),0))))</f>
        <v>0</v>
      </c>
    </row>
    <row r="84" spans="1:9" x14ac:dyDescent="0.25">
      <c r="A84" s="12"/>
      <c r="B84" s="13"/>
      <c r="C84" s="17"/>
      <c r="D84" s="13"/>
      <c r="E84" s="13"/>
      <c r="F84" s="13"/>
      <c r="G84" s="15"/>
      <c r="H84" s="15"/>
      <c r="I84" s="16">
        <f>IF(C84="",0,IF(OR(A84="",A84="DNS"),0,IF(A84="DNF",1,IF(ISNUMBER(A84),IF($I$41="J",IF(A84&lt;=11,VLOOKUP(A84,Punten!$A$2:$C$31,3,FALSE()),1),IF(A84&lt;=30,VLOOKUP(A84,Punten!$A$2:$C$31,2,FALSE()),1)),0))))</f>
        <v>0</v>
      </c>
    </row>
    <row r="85" spans="1:9" x14ac:dyDescent="0.25">
      <c r="A85" s="12"/>
      <c r="B85" s="13"/>
      <c r="C85" s="17"/>
      <c r="D85" s="13"/>
      <c r="E85" s="13"/>
      <c r="F85" s="13"/>
      <c r="G85" s="15"/>
      <c r="H85" s="15"/>
      <c r="I85" s="16">
        <f>IF(C85="",0,IF(OR(A85="",A85="DNS"),0,IF(A85="DNF",1,IF(ISNUMBER(A85),IF($I$41="J",IF(A85&lt;=11,VLOOKUP(A85,Punten!$A$2:$C$31,3,FALSE()),1),IF(A85&lt;=30,VLOOKUP(A85,Punten!$A$2:$C$31,2,FALSE()),1)),0))))</f>
        <v>0</v>
      </c>
    </row>
    <row r="86" spans="1:9" x14ac:dyDescent="0.25">
      <c r="A86" s="12"/>
      <c r="B86" s="13"/>
      <c r="C86" s="17"/>
      <c r="D86" s="13"/>
      <c r="E86" s="13"/>
      <c r="F86" s="13"/>
      <c r="G86" s="15"/>
      <c r="H86" s="15"/>
      <c r="I86" s="16">
        <f>IF(C86="",0,IF(OR(A86="",A86="DNS"),0,IF(A86="DNF",1,IF(ISNUMBER(A86),IF($I$41="J",IF(A86&lt;=11,VLOOKUP(A86,Punten!$A$2:$C$31,3,FALSE()),1),IF(A86&lt;=30,VLOOKUP(A86,Punten!$A$2:$C$31,2,FALSE()),1)),0))))</f>
        <v>0</v>
      </c>
    </row>
    <row r="87" spans="1:9" x14ac:dyDescent="0.25">
      <c r="A87" s="12"/>
      <c r="B87" s="13"/>
      <c r="C87" s="17"/>
      <c r="D87" s="13"/>
      <c r="E87" s="13"/>
      <c r="F87" s="13"/>
      <c r="G87" s="15"/>
      <c r="H87" s="15"/>
      <c r="I87" s="16">
        <f>IF(C87="",0,IF(OR(A87="",A87="DNS"),0,IF(A87="DNF",1,IF(ISNUMBER(A87),IF($I$41="J",IF(A87&lt;=11,VLOOKUP(A87,Punten!$A$2:$C$31,3,FALSE()),1),IF(A87&lt;=30,VLOOKUP(A87,Punten!$A$2:$C$31,2,FALSE()),1)),0))))</f>
        <v>0</v>
      </c>
    </row>
    <row r="88" spans="1:9" x14ac:dyDescent="0.25">
      <c r="A88" s="12"/>
      <c r="B88" s="13"/>
      <c r="C88" s="17"/>
      <c r="D88" s="13"/>
      <c r="E88" s="13"/>
      <c r="F88" s="13"/>
      <c r="G88" s="15"/>
      <c r="H88" s="15"/>
      <c r="I88" s="16">
        <f>IF(C88="",0,IF(OR(A88="",A88="DNS"),0,IF(A88="DNF",1,IF(ISNUMBER(A88),IF($I$41="J",IF(A88&lt;=11,VLOOKUP(A88,Punten!$A$2:$C$31,3,FALSE()),1),IF(A88&lt;=30,VLOOKUP(A88,Punten!$A$2:$C$31,2,FALSE()),1)),0))))</f>
        <v>0</v>
      </c>
    </row>
    <row r="89" spans="1:9" x14ac:dyDescent="0.25">
      <c r="A89" s="12"/>
      <c r="B89" s="13"/>
      <c r="C89" s="17"/>
      <c r="D89" s="13"/>
      <c r="E89" s="13"/>
      <c r="F89" s="13"/>
      <c r="G89" s="15"/>
      <c r="H89" s="15"/>
      <c r="I89" s="16">
        <f>IF(C89="",0,IF(OR(A89="",A89="DNS"),0,IF(A89="DNF",1,IF(ISNUMBER(A89),IF($I$41="J",IF(A89&lt;=11,VLOOKUP(A89,Punten!$A$2:$C$31,3,FALSE()),1),IF(A89&lt;=30,VLOOKUP(A89,Punten!$A$2:$C$31,2,FALSE()),1)),0))))</f>
        <v>0</v>
      </c>
    </row>
    <row r="90" spans="1:9" x14ac:dyDescent="0.25">
      <c r="A90" s="12"/>
      <c r="B90" s="13"/>
      <c r="C90" s="17"/>
      <c r="D90" s="13"/>
      <c r="E90" s="13"/>
      <c r="F90" s="13"/>
      <c r="G90" s="15"/>
      <c r="H90" s="15"/>
      <c r="I90" s="16">
        <f>IF(C90="",0,IF(OR(A90="",A90="DNS"),0,IF(A90="DNF",1,IF(ISNUMBER(A90),IF($I$41="J",IF(A90&lt;=11,VLOOKUP(A90,Punten!$A$2:$C$31,3,FALSE()),1),IF(A90&lt;=30,VLOOKUP(A90,Punten!$A$2:$C$31,2,FALSE()),1)),0))))</f>
        <v>0</v>
      </c>
    </row>
    <row r="91" spans="1:9" x14ac:dyDescent="0.25">
      <c r="A91" s="12"/>
      <c r="B91" s="13"/>
      <c r="C91" s="17"/>
      <c r="D91" s="13"/>
      <c r="E91" s="13"/>
      <c r="F91" s="13"/>
      <c r="G91" s="15"/>
      <c r="H91" s="15"/>
      <c r="I91" s="16">
        <f>IF(C91="",0,IF(OR(A91="",A91="DNS"),0,IF(A91="DNF",1,IF(ISNUMBER(A91),IF($I$41="J",IF(A91&lt;=11,VLOOKUP(A91,Punten!$A$2:$C$31,3,FALSE()),1),IF(A91&lt;=30,VLOOKUP(A91,Punten!$A$2:$C$31,2,FALSE()),1)),0))))</f>
        <v>0</v>
      </c>
    </row>
    <row r="92" spans="1:9" x14ac:dyDescent="0.25">
      <c r="A92" s="12"/>
      <c r="B92" s="13"/>
      <c r="C92" s="17"/>
      <c r="D92" s="13"/>
      <c r="E92" s="13"/>
      <c r="F92" s="13"/>
      <c r="G92" s="15"/>
      <c r="H92" s="15"/>
      <c r="I92" s="16">
        <f>IF(C92="",0,IF(OR(A92="",A92="DNS"),0,IF(A92="DNF",1,IF(ISNUMBER(A92),IF($I$41="J",IF(A92&lt;=11,VLOOKUP(A92,Punten!$A$2:$C$31,3,FALSE()),1),IF(A92&lt;=30,VLOOKUP(A92,Punten!$A$2:$C$31,2,FALSE()),1)),0))))</f>
        <v>0</v>
      </c>
    </row>
    <row r="93" spans="1:9" x14ac:dyDescent="0.25">
      <c r="A93" s="12"/>
      <c r="B93" s="13"/>
      <c r="C93" s="17"/>
      <c r="D93" s="13"/>
      <c r="E93" s="13"/>
      <c r="F93" s="13"/>
      <c r="G93" s="15"/>
      <c r="H93" s="15"/>
      <c r="I93" s="16">
        <f>IF(C93="",0,IF(OR(A93="",A93="DNS"),0,IF(A93="DNF",1,IF(ISNUMBER(A93),IF($I$41="J",IF(A93&lt;=11,VLOOKUP(A93,Punten!$A$2:$C$31,3,FALSE()),1),IF(A93&lt;=30,VLOOKUP(A93,Punten!$A$2:$C$31,2,FALSE()),1)),0))))</f>
        <v>0</v>
      </c>
    </row>
    <row r="94" spans="1:9" x14ac:dyDescent="0.25">
      <c r="A94" s="12"/>
      <c r="B94" s="13"/>
      <c r="C94" s="17"/>
      <c r="D94" s="13"/>
      <c r="E94" s="13"/>
      <c r="F94" s="13"/>
      <c r="G94" s="15"/>
      <c r="H94" s="15"/>
      <c r="I94" s="16">
        <f>IF(C94="",0,IF(OR(A94="",A94="DNS"),0,IF(A94="DNF",1,IF(ISNUMBER(A94),IF($I$41="J",IF(A94&lt;=11,VLOOKUP(A94,Punten!$A$2:$C$31,3,FALSE()),1),IF(A94&lt;=30,VLOOKUP(A94,Punten!$A$2:$C$31,2,FALSE()),1)),0))))</f>
        <v>0</v>
      </c>
    </row>
    <row r="95" spans="1:9" x14ac:dyDescent="0.25">
      <c r="A95" s="12"/>
      <c r="B95" s="13"/>
      <c r="C95" s="17"/>
      <c r="D95" s="13"/>
      <c r="E95" s="13"/>
      <c r="F95" s="13"/>
      <c r="G95" s="15"/>
      <c r="H95" s="15"/>
      <c r="I95" s="16">
        <f>IF(C95="",0,IF(OR(A95="",A95="DNS"),0,IF(A95="DNF",1,IF(ISNUMBER(A95),IF($I$41="J",IF(A95&lt;=11,VLOOKUP(A95,Punten!$A$2:$C$31,3,FALSE()),1),IF(A95&lt;=30,VLOOKUP(A95,Punten!$A$2:$C$31,2,FALSE()),1)),0))))</f>
        <v>0</v>
      </c>
    </row>
    <row r="96" spans="1:9" x14ac:dyDescent="0.25">
      <c r="A96" s="12"/>
      <c r="B96" s="13"/>
      <c r="C96" s="17"/>
      <c r="D96" s="13"/>
      <c r="E96" s="13"/>
      <c r="F96" s="13"/>
      <c r="G96" s="15"/>
      <c r="H96" s="15"/>
      <c r="I96" s="16">
        <f>IF(C96="",0,IF(OR(A96="",A96="DNS"),0,IF(A96="DNF",1,IF(ISNUMBER(A96),IF($I$41="J",IF(A96&lt;=11,VLOOKUP(A96,Punten!$A$2:$C$31,3,FALSE()),1),IF(A96&lt;=30,VLOOKUP(A96,Punten!$A$2:$C$31,2,FALSE()),1)),0))))</f>
        <v>0</v>
      </c>
    </row>
    <row r="97" spans="1:9" x14ac:dyDescent="0.25">
      <c r="A97" s="12"/>
      <c r="B97" s="13"/>
      <c r="C97" s="17"/>
      <c r="D97" s="13"/>
      <c r="E97" s="13"/>
      <c r="F97" s="13"/>
      <c r="G97" s="15"/>
      <c r="H97" s="15"/>
      <c r="I97" s="16">
        <f>IF(C97="",0,IF(OR(A97="",A97="DNS"),0,IF(A97="DNF",1,IF(ISNUMBER(A97),IF($I$41="J",IF(A97&lt;=11,VLOOKUP(A97,Punten!$A$2:$C$31,3,FALSE()),1),IF(A97&lt;=30,VLOOKUP(A97,Punten!$A$2:$C$31,2,FALSE()),1)),0))))</f>
        <v>0</v>
      </c>
    </row>
    <row r="98" spans="1:9" x14ac:dyDescent="0.25">
      <c r="A98" s="12"/>
      <c r="B98" s="13"/>
      <c r="C98" s="17"/>
      <c r="D98" s="13"/>
      <c r="E98" s="13"/>
      <c r="F98" s="13"/>
      <c r="G98" s="15"/>
      <c r="H98" s="15"/>
      <c r="I98" s="16">
        <f>IF(C98="",0,IF(OR(A98="",A98="DNS"),0,IF(A98="DNF",1,IF(ISNUMBER(A98),IF($I$41="J",IF(A98&lt;=11,VLOOKUP(A98,Punten!$A$2:$C$31,3,FALSE()),1),IF(A98&lt;=30,VLOOKUP(A98,Punten!$A$2:$C$31,2,FALSE()),1)),0))))</f>
        <v>0</v>
      </c>
    </row>
    <row r="99" spans="1:9" x14ac:dyDescent="0.25">
      <c r="A99" s="12"/>
      <c r="B99" s="13"/>
      <c r="C99" s="17"/>
      <c r="D99" s="13"/>
      <c r="E99" s="13"/>
      <c r="F99" s="13"/>
      <c r="G99" s="15"/>
      <c r="H99" s="15"/>
      <c r="I99" s="16">
        <f>IF(C99="",0,IF(OR(A99="",A99="DNS"),0,IF(A99="DNF",1,IF(ISNUMBER(A99),IF($I$41="J",IF(A99&lt;=11,VLOOKUP(A99,Punten!$A$2:$C$31,3,FALSE()),1),IF(A99&lt;=30,VLOOKUP(A99,Punten!$A$2:$C$31,2,FALSE()),1)),0))))</f>
        <v>0</v>
      </c>
    </row>
    <row r="100" spans="1:9" x14ac:dyDescent="0.25">
      <c r="A100" s="12"/>
      <c r="B100" s="13"/>
      <c r="C100" s="17"/>
      <c r="D100" s="13"/>
      <c r="E100" s="13"/>
      <c r="F100" s="13"/>
      <c r="G100" s="15"/>
      <c r="H100" s="15"/>
      <c r="I100" s="16">
        <f>IF(C100="",0,IF(OR(A100="",A100="DNS"),0,IF(A100="DNF",1,IF(ISNUMBER(A100),IF($I$41="J",IF(A100&lt;=11,VLOOKUP(A100,Punten!$A$2:$C$31,3,FALSE()),1),IF(A100&lt;=30,VLOOKUP(A100,Punten!$A$2:$C$31,2,FALSE()),1)),0))))</f>
        <v>0</v>
      </c>
    </row>
    <row r="101" spans="1:9" x14ac:dyDescent="0.25">
      <c r="A101" s="12"/>
      <c r="B101" s="13"/>
      <c r="C101" s="17"/>
      <c r="D101" s="13"/>
      <c r="E101" s="13"/>
      <c r="F101" s="13"/>
      <c r="G101" s="15"/>
      <c r="H101" s="15"/>
      <c r="I101" s="16">
        <f>IF(C101="",0,IF(OR(A101="",A101="DNS"),0,IF(A101="DNF",1,IF(ISNUMBER(A101),IF($I$41="J",IF(A101&lt;=11,VLOOKUP(A101,Punten!$A$2:$C$31,3,FALSE()),1),IF(A101&lt;=30,VLOOKUP(A101,Punten!$A$2:$C$31,2,FALSE()),1)),0))))</f>
        <v>0</v>
      </c>
    </row>
    <row r="102" spans="1:9" x14ac:dyDescent="0.25">
      <c r="A102" s="12"/>
      <c r="B102" s="13"/>
      <c r="C102" s="17"/>
      <c r="D102" s="13"/>
      <c r="E102" s="13"/>
      <c r="F102" s="13"/>
      <c r="G102" s="15"/>
      <c r="H102" s="15"/>
      <c r="I102" s="16">
        <f>IF(C102="",0,IF(OR(A102="",A102="DNS"),0,IF(A102="DNF",1,IF(ISNUMBER(A102),IF($I$41="J",IF(A102&lt;=11,VLOOKUP(A102,Punten!$A$2:$C$31,3,FALSE()),1),IF(A102&lt;=30,VLOOKUP(A102,Punten!$A$2:$C$31,2,FALSE()),1)),0))))</f>
        <v>0</v>
      </c>
    </row>
    <row r="103" spans="1:9" x14ac:dyDescent="0.25">
      <c r="A103" s="12"/>
      <c r="B103" s="13"/>
      <c r="C103" s="17"/>
      <c r="D103" s="13"/>
      <c r="E103" s="13"/>
      <c r="F103" s="13"/>
      <c r="G103" s="15"/>
      <c r="H103" s="15"/>
      <c r="I103" s="16">
        <f>IF(C103="",0,IF(OR(A103="",A103="DNS"),0,IF(A103="DNF",1,IF(ISNUMBER(A103),IF($I$41="J",IF(A103&lt;=11,VLOOKUP(A103,Punten!$A$2:$C$31,3,FALSE()),1),IF(A103&lt;=30,VLOOKUP(A103,Punten!$A$2:$C$31,2,FALSE()),1)),0))))</f>
        <v>0</v>
      </c>
    </row>
    <row r="104" spans="1:9" x14ac:dyDescent="0.25">
      <c r="A104" s="12"/>
      <c r="B104" s="13"/>
      <c r="C104" s="17"/>
      <c r="D104" s="13"/>
      <c r="E104" s="13"/>
      <c r="F104" s="13"/>
      <c r="G104" s="15"/>
      <c r="H104" s="15"/>
      <c r="I104" s="16">
        <f>IF(C104="",0,IF(OR(A104="",A104="DNS"),0,IF(A104="DNF",1,IF(ISNUMBER(A104),IF($I$41="J",IF(A104&lt;=11,VLOOKUP(A104,Punten!$A$2:$C$31,3,FALSE()),1),IF(A104&lt;=30,VLOOKUP(A104,Punten!$A$2:$C$31,2,FALSE()),1)),0))))</f>
        <v>0</v>
      </c>
    </row>
    <row r="105" spans="1:9" x14ac:dyDescent="0.25">
      <c r="A105" s="12"/>
      <c r="B105" s="13"/>
      <c r="C105" s="17"/>
      <c r="D105" s="13"/>
      <c r="E105" s="13"/>
      <c r="F105" s="13"/>
      <c r="G105" s="15"/>
      <c r="H105" s="15"/>
      <c r="I105" s="16">
        <f>IF(C105="",0,IF(OR(A105="",A105="DNS"),0,IF(A105="DNF",1,IF(ISNUMBER(A105),IF($I$41="J",IF(A105&lt;=11,VLOOKUP(A105,Punten!$A$2:$C$31,3,FALSE()),1),IF(A105&lt;=30,VLOOKUP(A105,Punten!$A$2:$C$31,2,FALSE()),1)),0))))</f>
        <v>0</v>
      </c>
    </row>
    <row r="106" spans="1:9" x14ac:dyDescent="0.25">
      <c r="A106" s="12"/>
      <c r="B106" s="13"/>
      <c r="C106" s="17"/>
      <c r="D106" s="13"/>
      <c r="E106" s="13"/>
      <c r="F106" s="13"/>
      <c r="G106" s="15"/>
      <c r="H106" s="15"/>
      <c r="I106" s="16">
        <f>IF(C106="",0,IF(OR(A106="",A106="DNS"),0,IF(A106="DNF",1,IF(ISNUMBER(A106),IF($I$41="J",IF(A106&lt;=11,VLOOKUP(A106,Punten!$A$2:$C$31,3,FALSE()),1),IF(A106&lt;=30,VLOOKUP(A106,Punten!$A$2:$C$31,2,FALSE()),1)),0))))</f>
        <v>0</v>
      </c>
    </row>
    <row r="107" spans="1:9" x14ac:dyDescent="0.25">
      <c r="A107" s="12"/>
      <c r="B107" s="13"/>
      <c r="C107" s="17"/>
      <c r="D107" s="13"/>
      <c r="E107" s="13"/>
      <c r="F107" s="13"/>
      <c r="G107" s="15"/>
      <c r="H107" s="15"/>
      <c r="I107" s="16">
        <f>IF(C107="",0,IF(OR(A107="",A107="DNS"),0,IF(A107="DNF",1,IF(ISNUMBER(A107),IF($I$41="J",IF(A107&lt;=11,VLOOKUP(A107,Punten!$A$2:$C$31,3,FALSE()),1),IF(A107&lt;=30,VLOOKUP(A107,Punten!$A$2:$C$31,2,FALSE()),1)),0))))</f>
        <v>0</v>
      </c>
    </row>
    <row r="108" spans="1:9" x14ac:dyDescent="0.25">
      <c r="A108" s="12"/>
      <c r="B108" s="13"/>
      <c r="C108" s="17"/>
      <c r="D108" s="13"/>
      <c r="E108" s="13"/>
      <c r="F108" s="13"/>
      <c r="G108" s="15"/>
      <c r="H108" s="15"/>
      <c r="I108" s="16">
        <f>IF(C108="",0,IF(OR(A108="",A108="DNS"),0,IF(A108="DNF",1,IF(ISNUMBER(A108),IF($I$41="J",IF(A108&lt;=11,VLOOKUP(A108,Punten!$A$2:$C$31,3,FALSE()),1),IF(A108&lt;=30,VLOOKUP(A108,Punten!$A$2:$C$31,2,FALSE()),1)),0))))</f>
        <v>0</v>
      </c>
    </row>
    <row r="109" spans="1:9" x14ac:dyDescent="0.25">
      <c r="A109" s="12"/>
      <c r="B109" s="13"/>
      <c r="C109" s="17"/>
      <c r="D109" s="13"/>
      <c r="E109" s="13"/>
      <c r="F109" s="13"/>
      <c r="G109" s="15"/>
      <c r="H109" s="15"/>
      <c r="I109" s="16">
        <f>IF(C109="",0,IF(OR(A109="",A109="DNS"),0,IF(A109="DNF",1,IF(ISNUMBER(A109),IF($I$41="J",IF(A109&lt;=11,VLOOKUP(A109,Punten!$A$2:$C$31,3,FALSE()),1),IF(A109&lt;=30,VLOOKUP(A109,Punten!$A$2:$C$31,2,FALSE()),1)),0))))</f>
        <v>0</v>
      </c>
    </row>
    <row r="110" spans="1:9" x14ac:dyDescent="0.25">
      <c r="A110" s="12"/>
      <c r="B110" s="13"/>
      <c r="C110" s="17"/>
      <c r="D110" s="13"/>
      <c r="E110" s="13"/>
      <c r="F110" s="13"/>
      <c r="G110" s="15"/>
      <c r="H110" s="15"/>
      <c r="I110" s="16">
        <f>IF(C110="",0,IF(OR(A110="",A110="DNS"),0,IF(A110="DNF",1,IF(ISNUMBER(A110),IF($I$41="J",IF(A110&lt;=11,VLOOKUP(A110,Punten!$A$2:$C$31,3,FALSE()),1),IF(A110&lt;=30,VLOOKUP(A110,Punten!$A$2:$C$31,2,FALSE()),1)),0))))</f>
        <v>0</v>
      </c>
    </row>
    <row r="111" spans="1:9" x14ac:dyDescent="0.25">
      <c r="A111" s="12"/>
      <c r="B111" s="13"/>
      <c r="C111" s="17"/>
      <c r="D111" s="13"/>
      <c r="E111" s="13"/>
      <c r="F111" s="13"/>
      <c r="G111" s="15"/>
      <c r="H111" s="15"/>
      <c r="I111" s="16">
        <f>IF(C111="",0,IF(OR(A111="",A111="DNS"),0,IF(A111="DNF",1,IF(ISNUMBER(A111),IF($I$41="J",IF(A111&lt;=11,VLOOKUP(A111,Punten!$A$2:$C$31,3,FALSE()),1),IF(A111&lt;=30,VLOOKUP(A111,Punten!$A$2:$C$31,2,FALSE()),1)),0))))</f>
        <v>0</v>
      </c>
    </row>
    <row r="112" spans="1:9" x14ac:dyDescent="0.25">
      <c r="A112" s="12"/>
      <c r="B112" s="13"/>
      <c r="C112" s="17"/>
      <c r="D112" s="13"/>
      <c r="E112" s="13"/>
      <c r="F112" s="13"/>
      <c r="G112" s="15"/>
      <c r="H112" s="15"/>
      <c r="I112" s="16">
        <f>IF(C112="",0,IF(OR(A112="",A112="DNS"),0,IF(A112="DNF",1,IF(ISNUMBER(A112),IF($I$41="J",IF(A112&lt;=11,VLOOKUP(A112,Punten!$A$2:$C$31,3,FALSE()),1),IF(A112&lt;=30,VLOOKUP(A112,Punten!$A$2:$C$31,2,FALSE()),1)),0))))</f>
        <v>0</v>
      </c>
    </row>
    <row r="113" spans="1:9" x14ac:dyDescent="0.25">
      <c r="A113" s="12"/>
      <c r="B113" s="13"/>
      <c r="C113" s="17"/>
      <c r="D113" s="13"/>
      <c r="E113" s="13"/>
      <c r="F113" s="13"/>
      <c r="G113" s="15"/>
      <c r="H113" s="15"/>
      <c r="I113" s="16">
        <f>IF(C113="",0,IF(OR(A113="",A113="DNS"),0,IF(A113="DNF",1,IF(ISNUMBER(A113),IF($I$41="J",IF(A113&lt;=11,VLOOKUP(A113,Punten!$A$2:$C$31,3,FALSE()),1),IF(A113&lt;=30,VLOOKUP(A113,Punten!$A$2:$C$31,2,FALSE()),1)),0))))</f>
        <v>0</v>
      </c>
    </row>
    <row r="114" spans="1:9" x14ac:dyDescent="0.25">
      <c r="A114" s="12"/>
      <c r="B114" s="13"/>
      <c r="C114" s="17"/>
      <c r="D114" s="13"/>
      <c r="E114" s="13"/>
      <c r="F114" s="13"/>
      <c r="G114" s="15"/>
      <c r="H114" s="15"/>
      <c r="I114" s="16">
        <f>IF(C114="",0,IF(OR(A114="",A114="DNS"),0,IF(A114="DNF",1,IF(ISNUMBER(A114),IF($I$41="J",IF(A114&lt;=11,VLOOKUP(A114,Punten!$A$2:$C$31,3,FALSE()),1),IF(A114&lt;=30,VLOOKUP(A114,Punten!$A$2:$C$31,2,FALSE()),1)),0))))</f>
        <v>0</v>
      </c>
    </row>
    <row r="115" spans="1:9" x14ac:dyDescent="0.25">
      <c r="A115" s="12"/>
      <c r="B115" s="13"/>
      <c r="C115" s="17"/>
      <c r="D115" s="13"/>
      <c r="E115" s="13"/>
      <c r="F115" s="13"/>
      <c r="G115" s="15"/>
      <c r="H115" s="15"/>
      <c r="I115" s="16">
        <f>IF(C115="",0,IF(OR(A115="",A115="DNS"),0,IF(A115="DNF",1,IF(ISNUMBER(A115),IF($I$41="J",IF(A115&lt;=11,VLOOKUP(A115,Punten!$A$2:$C$31,3,FALSE()),1),IF(A115&lt;=30,VLOOKUP(A115,Punten!$A$2:$C$31,2,FALSE()),1)),0))))</f>
        <v>0</v>
      </c>
    </row>
    <row r="116" spans="1:9" x14ac:dyDescent="0.25">
      <c r="A116" s="12"/>
      <c r="B116" s="13"/>
      <c r="C116" s="17"/>
      <c r="D116" s="13"/>
      <c r="E116" s="13"/>
      <c r="F116" s="13"/>
      <c r="G116" s="15"/>
      <c r="H116" s="15"/>
      <c r="I116" s="16">
        <f>IF(C116="",0,IF(OR(A116="",A116="DNS"),0,IF(A116="DNF",1,IF(ISNUMBER(A116),IF($I$41="J",IF(A116&lt;=11,VLOOKUP(A116,Punten!$A$2:$C$31,3,FALSE()),1),IF(A116&lt;=30,VLOOKUP(A116,Punten!$A$2:$C$31,2,FALSE()),1)),0))))</f>
        <v>0</v>
      </c>
    </row>
    <row r="117" spans="1:9" x14ac:dyDescent="0.25">
      <c r="A117" s="12"/>
      <c r="B117" s="13"/>
      <c r="C117" s="17"/>
      <c r="D117" s="13"/>
      <c r="E117" s="13"/>
      <c r="F117" s="13"/>
      <c r="G117" s="15"/>
      <c r="H117" s="15"/>
      <c r="I117" s="16">
        <f>IF(C117="",0,IF(OR(A117="",A117="DNS"),0,IF(A117="DNF",1,IF(ISNUMBER(A117),IF($I$41="J",IF(A117&lt;=11,VLOOKUP(A117,Punten!$A$2:$C$31,3,FALSE()),1),IF(A117&lt;=30,VLOOKUP(A117,Punten!$A$2:$C$31,2,FALSE()),1)),0))))</f>
        <v>0</v>
      </c>
    </row>
    <row r="118" spans="1:9" x14ac:dyDescent="0.25">
      <c r="A118" s="12"/>
      <c r="B118" s="13"/>
      <c r="C118" s="17"/>
      <c r="D118" s="13"/>
      <c r="E118" s="13"/>
      <c r="F118" s="13"/>
      <c r="G118" s="15"/>
      <c r="H118" s="15"/>
      <c r="I118" s="16">
        <f>IF(C118="",0,IF(OR(A118="",A118="DNS"),0,IF(A118="DNF",1,IF(ISNUMBER(A118),IF($I$41="J",IF(A118&lt;=11,VLOOKUP(A118,Punten!$A$2:$C$31,3,FALSE()),1),IF(A118&lt;=30,VLOOKUP(A118,Punten!$A$2:$C$31,2,FALSE()),1)),0))))</f>
        <v>0</v>
      </c>
    </row>
    <row r="119" spans="1:9" x14ac:dyDescent="0.25">
      <c r="A119" s="12"/>
      <c r="B119" s="13"/>
      <c r="C119" s="17"/>
      <c r="D119" s="13"/>
      <c r="E119" s="13"/>
      <c r="F119" s="13"/>
      <c r="G119" s="15"/>
      <c r="H119" s="15"/>
      <c r="I119" s="16">
        <f>IF(C119="",0,IF(OR(A119="",A119="DNS"),0,IF(A119="DNF",1,IF(ISNUMBER(A119),IF($I$41="J",IF(A119&lt;=11,VLOOKUP(A119,Punten!$A$2:$C$31,3,FALSE()),1),IF(A119&lt;=30,VLOOKUP(A119,Punten!$A$2:$C$31,2,FALSE()),1)),0))))</f>
        <v>0</v>
      </c>
    </row>
    <row r="120" spans="1:9" x14ac:dyDescent="0.25">
      <c r="A120" s="12"/>
      <c r="B120" s="13"/>
      <c r="C120" s="17"/>
      <c r="D120" s="13"/>
      <c r="E120" s="13"/>
      <c r="F120" s="13"/>
      <c r="G120" s="15"/>
      <c r="H120" s="15"/>
      <c r="I120" s="16">
        <f>IF(C120="",0,IF(OR(A120="",A120="DNS"),0,IF(A120="DNF",1,IF(ISNUMBER(A120),IF($I$41="J",IF(A120&lt;=11,VLOOKUP(A120,Punten!$A$2:$C$31,3,FALSE()),1),IF(A120&lt;=30,VLOOKUP(A120,Punten!$A$2:$C$31,2,FALSE()),1)),0))))</f>
        <v>0</v>
      </c>
    </row>
    <row r="121" spans="1:9" x14ac:dyDescent="0.25">
      <c r="A121" s="12"/>
      <c r="B121" s="13"/>
      <c r="C121" s="17"/>
      <c r="D121" s="13"/>
      <c r="E121" s="13"/>
      <c r="F121" s="13"/>
      <c r="G121" s="15"/>
      <c r="H121" s="15"/>
      <c r="I121" s="16">
        <f>IF(C121="",0,IF(OR(A121="",A121="DNS"),0,IF(A121="DNF",1,IF(ISNUMBER(A121),IF($I$41="J",IF(A121&lt;=11,VLOOKUP(A121,Punten!$A$2:$C$31,3,FALSE()),1),IF(A121&lt;=30,VLOOKUP(A121,Punten!$A$2:$C$31,2,FALSE()),1)),0))))</f>
        <v>0</v>
      </c>
    </row>
    <row r="122" spans="1:9" x14ac:dyDescent="0.25">
      <c r="A122" s="12"/>
      <c r="B122" s="13"/>
      <c r="C122" s="17"/>
      <c r="D122" s="13"/>
      <c r="E122" s="13"/>
      <c r="F122" s="13"/>
      <c r="G122" s="15"/>
      <c r="H122" s="15"/>
      <c r="I122" s="16">
        <f>IF(C122="",0,IF(OR(A122="",A122="DNS"),0,IF(A122="DNF",1,IF(ISNUMBER(A122),IF($I$41="J",IF(A122&lt;=11,VLOOKUP(A122,Punten!$A$2:$C$31,3,FALSE()),1),IF(A122&lt;=30,VLOOKUP(A122,Punten!$A$2:$C$31,2,FALSE()),1)),0))))</f>
        <v>0</v>
      </c>
    </row>
    <row r="123" spans="1:9" x14ac:dyDescent="0.25">
      <c r="A123" s="12"/>
      <c r="B123" s="13"/>
      <c r="C123" s="17"/>
      <c r="D123" s="13"/>
      <c r="E123" s="13"/>
      <c r="F123" s="13"/>
      <c r="G123" s="15"/>
      <c r="H123" s="15"/>
      <c r="I123" s="16">
        <f>IF(C123="",0,IF(OR(A123="",A123="DNS"),0,IF(A123="DNF",1,IF(ISNUMBER(A123),IF($I$41="J",IF(A123&lt;=11,VLOOKUP(A123,Punten!$A$2:$C$31,3,FALSE()),1),IF(A123&lt;=30,VLOOKUP(A123,Punten!$A$2:$C$31,2,FALSE()),1)),0))))</f>
        <v>0</v>
      </c>
    </row>
    <row r="124" spans="1:9" x14ac:dyDescent="0.25">
      <c r="A124" s="12"/>
      <c r="B124" s="13"/>
      <c r="C124" s="17"/>
      <c r="D124" s="13"/>
      <c r="E124" s="13"/>
      <c r="F124" s="13"/>
      <c r="G124" s="15"/>
      <c r="H124" s="15"/>
      <c r="I124" s="16">
        <f>IF(C124="",0,IF(OR(A124="",A124="DNS"),0,IF(A124="DNF",1,IF(ISNUMBER(A124),IF($I$41="J",IF(A124&lt;=11,VLOOKUP(A124,Punten!$A$2:$C$31,3,FALSE()),1),IF(A124&lt;=30,VLOOKUP(A124,Punten!$A$2:$C$31,2,FALSE()),1)),0))))</f>
        <v>0</v>
      </c>
    </row>
    <row r="125" spans="1:9" x14ac:dyDescent="0.25">
      <c r="A125" s="12"/>
      <c r="B125" s="13"/>
      <c r="C125" s="17"/>
      <c r="D125" s="13"/>
      <c r="E125" s="13"/>
      <c r="F125" s="13"/>
      <c r="G125" s="15"/>
      <c r="H125" s="15"/>
      <c r="I125" s="16">
        <f>IF(C125="",0,IF(OR(A125="",A125="DNS"),0,IF(A125="DNF",1,IF(ISNUMBER(A125),IF($I$41="J",IF(A125&lt;=11,VLOOKUP(A125,Punten!$A$2:$C$31,3,FALSE()),1),IF(A125&lt;=30,VLOOKUP(A125,Punten!$A$2:$C$31,2,FALSE()),1)),0))))</f>
        <v>0</v>
      </c>
    </row>
    <row r="126" spans="1:9" x14ac:dyDescent="0.25">
      <c r="A126" s="12"/>
      <c r="B126" s="13"/>
      <c r="C126" s="17"/>
      <c r="D126" s="13"/>
      <c r="E126" s="13"/>
      <c r="F126" s="13"/>
      <c r="G126" s="15"/>
      <c r="H126" s="15"/>
      <c r="I126" s="16">
        <f>IF(C126="",0,IF(OR(A126="",A126="DNS"),0,IF(A126="DNF",1,IF(ISNUMBER(A126),IF($I$41="J",IF(A126&lt;=11,VLOOKUP(A126,Punten!$A$2:$C$31,3,FALSE()),1),IF(A126&lt;=30,VLOOKUP(A126,Punten!$A$2:$C$31,2,FALSE()),1)),0))))</f>
        <v>0</v>
      </c>
    </row>
    <row r="127" spans="1:9" x14ac:dyDescent="0.25">
      <c r="A127" s="12"/>
      <c r="B127" s="13"/>
      <c r="C127" s="17"/>
      <c r="D127" s="13"/>
      <c r="E127" s="13"/>
      <c r="F127" s="13"/>
      <c r="G127" s="15"/>
      <c r="H127" s="15"/>
      <c r="I127" s="16">
        <f>IF(C127="",0,IF(OR(A127="",A127="DNS"),0,IF(A127="DNF",1,IF(ISNUMBER(A127),IF($I$41="J",IF(A127&lt;=11,VLOOKUP(A127,Punten!$A$2:$C$31,3,FALSE()),1),IF(A127&lt;=30,VLOOKUP(A127,Punten!$A$2:$C$31,2,FALSE()),1)),0))))</f>
        <v>0</v>
      </c>
    </row>
    <row r="128" spans="1:9" x14ac:dyDescent="0.25">
      <c r="A128" s="12"/>
      <c r="B128" s="13"/>
      <c r="C128" s="17"/>
      <c r="D128" s="13"/>
      <c r="E128" s="13"/>
      <c r="F128" s="13"/>
      <c r="G128" s="15"/>
      <c r="H128" s="15"/>
      <c r="I128" s="16">
        <f>IF(C128="",0,IF(OR(A128="",A128="DNS"),0,IF(A128="DNF",1,IF(ISNUMBER(A128),IF($I$41="J",IF(A128&lt;=11,VLOOKUP(A128,Punten!$A$2:$C$31,3,FALSE()),1),IF(A128&lt;=30,VLOOKUP(A128,Punten!$A$2:$C$31,2,FALSE()),1)),0))))</f>
        <v>0</v>
      </c>
    </row>
    <row r="129" spans="1:9" x14ac:dyDescent="0.25">
      <c r="A129" s="12"/>
      <c r="B129" s="13"/>
      <c r="C129" s="17"/>
      <c r="D129" s="13"/>
      <c r="E129" s="13"/>
      <c r="F129" s="13"/>
      <c r="G129" s="15"/>
      <c r="H129" s="15"/>
      <c r="I129" s="16">
        <f>IF(C129="",0,IF(OR(A129="",A129="DNS"),0,IF(A129="DNF",1,IF(ISNUMBER(A129),IF($I$41="J",IF(A129&lt;=11,VLOOKUP(A129,Punten!$A$2:$C$31,3,FALSE()),1),IF(A129&lt;=30,VLOOKUP(A129,Punten!$A$2:$C$31,2,FALSE()),1)),0))))</f>
        <v>0</v>
      </c>
    </row>
  </sheetData>
  <mergeCells count="1">
    <mergeCell ref="A1:I1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09"/>
  <sheetViews>
    <sheetView zoomScaleNormal="100" workbookViewId="0">
      <pane ySplit="1" topLeftCell="A159" activePane="bottomLeft" state="frozen"/>
      <selection pane="bottomLeft" activeCell="A210" sqref="A210:I280"/>
    </sheetView>
  </sheetViews>
  <sheetFormatPr defaultColWidth="8.7109375" defaultRowHeight="15" x14ac:dyDescent="0.25"/>
  <cols>
    <col min="1" max="1" width="10" style="38" customWidth="1"/>
    <col min="2" max="2" width="14" style="38" customWidth="1"/>
    <col min="3" max="3" width="28" customWidth="1"/>
    <col min="4" max="5" width="14" customWidth="1"/>
    <col min="6" max="6" width="28" customWidth="1"/>
    <col min="7" max="7" width="14" customWidth="1"/>
    <col min="8" max="9" width="12" customWidth="1"/>
  </cols>
  <sheetData>
    <row r="1" spans="1:9" ht="18" customHeight="1" x14ac:dyDescent="0.25">
      <c r="A1" s="44" t="s">
        <v>141</v>
      </c>
      <c r="B1" s="44"/>
      <c r="C1" s="44"/>
      <c r="D1" s="44"/>
      <c r="E1" s="44"/>
      <c r="F1" s="44"/>
      <c r="G1" s="44"/>
      <c r="H1" s="44"/>
      <c r="I1" s="44"/>
    </row>
    <row r="2" spans="1:9" ht="16.5" customHeight="1" x14ac:dyDescent="0.25">
      <c r="A2" s="36" t="s">
        <v>22</v>
      </c>
      <c r="B2" s="37"/>
      <c r="C2" s="8"/>
      <c r="D2" s="8"/>
      <c r="E2" s="8"/>
      <c r="F2" s="8"/>
      <c r="G2" s="8"/>
      <c r="H2" s="9" t="s">
        <v>23</v>
      </c>
      <c r="I2" s="10" t="s">
        <v>24</v>
      </c>
    </row>
    <row r="3" spans="1:9" x14ac:dyDescent="0.25">
      <c r="A3" s="11" t="s">
        <v>25</v>
      </c>
      <c r="B3" s="11" t="s">
        <v>26</v>
      </c>
      <c r="C3" s="11" t="s">
        <v>27</v>
      </c>
      <c r="D3" s="11" t="s">
        <v>98</v>
      </c>
      <c r="E3" s="11" t="s">
        <v>28</v>
      </c>
      <c r="F3" s="11" t="s">
        <v>29</v>
      </c>
      <c r="G3" s="11" t="s">
        <v>30</v>
      </c>
      <c r="H3" s="11" t="s">
        <v>31</v>
      </c>
      <c r="I3" s="11" t="s">
        <v>32</v>
      </c>
    </row>
    <row r="4" spans="1:9" x14ac:dyDescent="0.25">
      <c r="A4" s="12">
        <v>1</v>
      </c>
      <c r="B4" s="15">
        <v>21</v>
      </c>
      <c r="C4" s="17" t="s">
        <v>222</v>
      </c>
      <c r="D4" s="13" t="s">
        <v>100</v>
      </c>
      <c r="E4" s="13" t="s">
        <v>34</v>
      </c>
      <c r="F4" s="13" t="s">
        <v>223</v>
      </c>
      <c r="G4" s="15">
        <v>6.322916666666667E-2</v>
      </c>
      <c r="H4" s="15" t="s">
        <v>102</v>
      </c>
      <c r="I4" s="16">
        <f>IF(C4="",0,IF(OR(A4="",A4="DNS"),0,IF(A4="DNF",1,IF(ISNUMBER(A4),IF($I$2="J",IF(A4&lt;=11,VLOOKUP(A4,Punten!$A$2:$C$31,3,FALSE()),1),IF(A4&lt;=30,VLOOKUP(A4,Punten!$A$2:$C$31,2,FALSE()),1)),0))))</f>
        <v>100.1</v>
      </c>
    </row>
    <row r="5" spans="1:9" x14ac:dyDescent="0.25">
      <c r="A5" s="12">
        <v>2</v>
      </c>
      <c r="B5" s="15">
        <v>29</v>
      </c>
      <c r="C5" s="17" t="s">
        <v>224</v>
      </c>
      <c r="D5" s="13" t="s">
        <v>100</v>
      </c>
      <c r="E5" s="13" t="s">
        <v>49</v>
      </c>
      <c r="F5" s="13" t="s">
        <v>225</v>
      </c>
      <c r="G5" s="15">
        <v>6.322916666666667E-2</v>
      </c>
      <c r="H5" s="15" t="e" cm="1" vm="1">
        <f t="array" ref="H5">+_FV( 0,"049")</f>
        <v>#VALUE!</v>
      </c>
      <c r="I5" s="16">
        <f>IF(C5="",0,IF(OR(A5="",A5="DNS"),0,IF(A5="DNF",1,IF(ISNUMBER(A5),IF($I$2="J",IF(A5&lt;=11,VLOOKUP(A5,Punten!$A$2:$C$31,3,FALSE()),1),IF(A5&lt;=30,VLOOKUP(A5,Punten!$A$2:$C$31,2,FALSE()),1)),0))))</f>
        <v>90</v>
      </c>
    </row>
    <row r="6" spans="1:9" x14ac:dyDescent="0.25">
      <c r="A6" s="12">
        <v>3</v>
      </c>
      <c r="B6" s="15">
        <v>10</v>
      </c>
      <c r="C6" s="17" t="s">
        <v>53</v>
      </c>
      <c r="D6" s="13" t="s">
        <v>100</v>
      </c>
      <c r="E6" s="13" t="s">
        <v>34</v>
      </c>
      <c r="F6" s="13" t="s">
        <v>116</v>
      </c>
      <c r="G6" s="15">
        <v>6.3310185185185192E-2</v>
      </c>
      <c r="H6" s="15">
        <v>6891</v>
      </c>
      <c r="I6" s="16">
        <f>IF(C6="",0,IF(OR(A6="",A6="DNS"),0,IF(A6="DNF",1,IF(ISNUMBER(A6),IF($I$2="J",IF(A6&lt;=11,VLOOKUP(A6,Punten!$A$2:$C$31,3,FALSE()),1),IF(A6&lt;=30,VLOOKUP(A6,Punten!$A$2:$C$31,2,FALSE()),1)),0))))</f>
        <v>85</v>
      </c>
    </row>
    <row r="7" spans="1:9" x14ac:dyDescent="0.25">
      <c r="A7" s="12">
        <v>4</v>
      </c>
      <c r="B7" s="15">
        <v>46</v>
      </c>
      <c r="C7" s="17" t="s">
        <v>226</v>
      </c>
      <c r="D7" s="13" t="s">
        <v>100</v>
      </c>
      <c r="E7" s="13" t="s">
        <v>34</v>
      </c>
      <c r="F7" s="13" t="s">
        <v>227</v>
      </c>
      <c r="G7" s="15">
        <v>6.3622685185185185E-2</v>
      </c>
      <c r="H7" s="15">
        <v>34434</v>
      </c>
      <c r="I7" s="16">
        <f>IF(C7="",0,IF(OR(A7="",A7="DNS"),0,IF(A7="DNF",1,IF(ISNUMBER(A7),IF($I$2="J",IF(A7&lt;=11,VLOOKUP(A7,Punten!$A$2:$C$31,3,FALSE()),1),IF(A7&lt;=30,VLOOKUP(A7,Punten!$A$2:$C$31,2,FALSE()),1)),0))))</f>
        <v>80</v>
      </c>
    </row>
    <row r="8" spans="1:9" x14ac:dyDescent="0.25">
      <c r="A8" s="12">
        <v>5</v>
      </c>
      <c r="B8" s="15">
        <v>43</v>
      </c>
      <c r="C8" s="17" t="s">
        <v>35</v>
      </c>
      <c r="D8" s="13" t="s">
        <v>100</v>
      </c>
      <c r="E8" s="13" t="s">
        <v>228</v>
      </c>
      <c r="F8" s="13" t="s">
        <v>108</v>
      </c>
      <c r="G8" s="15">
        <v>6.3900462962962964E-2</v>
      </c>
      <c r="H8" s="15">
        <v>58214</v>
      </c>
      <c r="I8" s="16">
        <f>IF(C8="",0,IF(OR(A8="",A8="DNS"),0,IF(A8="DNF",1,IF(ISNUMBER(A8),IF($I$2="J",IF(A8&lt;=11,VLOOKUP(A8,Punten!$A$2:$C$31,3,FALSE()),1),IF(A8&lt;=30,VLOOKUP(A8,Punten!$A$2:$C$31,2,FALSE()),1)),0))))</f>
        <v>75</v>
      </c>
    </row>
    <row r="9" spans="1:9" x14ac:dyDescent="0.25">
      <c r="A9" s="12">
        <v>6</v>
      </c>
      <c r="B9" s="15">
        <v>37</v>
      </c>
      <c r="C9" s="17" t="s">
        <v>41</v>
      </c>
      <c r="D9" s="13" t="s">
        <v>100</v>
      </c>
      <c r="E9" s="13" t="s">
        <v>34</v>
      </c>
      <c r="F9" s="13" t="s">
        <v>104</v>
      </c>
      <c r="G9" s="15">
        <v>6.3912037037037031E-2</v>
      </c>
      <c r="H9" s="15">
        <v>59461</v>
      </c>
      <c r="I9" s="16">
        <f>IF(C9="",0,IF(OR(A9="",A9="DNS"),0,IF(A9="DNF",1,IF(ISNUMBER(A9),IF($I$2="J",IF(A9&lt;=11,VLOOKUP(A9,Punten!$A$2:$C$31,3,FALSE()),1),IF(A9&lt;=30,VLOOKUP(A9,Punten!$A$2:$C$31,2,FALSE()),1)),0))))</f>
        <v>70</v>
      </c>
    </row>
    <row r="10" spans="1:9" x14ac:dyDescent="0.25">
      <c r="A10" s="12">
        <v>7</v>
      </c>
      <c r="B10" s="15">
        <v>41</v>
      </c>
      <c r="C10" s="17" t="s">
        <v>40</v>
      </c>
      <c r="D10" s="13" t="s">
        <v>100</v>
      </c>
      <c r="E10" s="13"/>
      <c r="F10" s="13"/>
      <c r="G10" s="15">
        <v>6.3923611111111112E-2</v>
      </c>
      <c r="H10" s="15">
        <v>59719</v>
      </c>
      <c r="I10" s="16">
        <f>IF(C10="",0,IF(OR(A10="",A10="DNS"),0,IF(A10="DNF",1,IF(ISNUMBER(A10),IF($I$2="J",IF(A10&lt;=11,VLOOKUP(A10,Punten!$A$2:$C$31,3,FALSE()),1),IF(A10&lt;=30,VLOOKUP(A10,Punten!$A$2:$C$31,2,FALSE()),1)),0))))</f>
        <v>66</v>
      </c>
    </row>
    <row r="11" spans="1:9" x14ac:dyDescent="0.25">
      <c r="A11" s="12">
        <v>8</v>
      </c>
      <c r="B11" s="15">
        <v>48</v>
      </c>
      <c r="C11" s="17" t="s">
        <v>105</v>
      </c>
      <c r="D11" s="13" t="s">
        <v>100</v>
      </c>
      <c r="E11" s="13" t="s">
        <v>106</v>
      </c>
      <c r="F11" s="13" t="s">
        <v>104</v>
      </c>
      <c r="G11" s="15">
        <v>0.06</v>
      </c>
      <c r="H11" s="15" t="s">
        <v>229</v>
      </c>
      <c r="I11" s="16">
        <f>IF(C11="",0,IF(OR(A11="",A11="DNS"),0,IF(A11="DNF",1,IF(ISNUMBER(A11),IF($I$2="J",IF(A11&lt;=11,VLOOKUP(A11,Punten!$A$2:$C$31,3,FALSE()),1),IF(A11&lt;=30,VLOOKUP(A11,Punten!$A$2:$C$31,2,FALSE()),1)),0))))</f>
        <v>62</v>
      </c>
    </row>
    <row r="12" spans="1:9" x14ac:dyDescent="0.25">
      <c r="A12" s="12" t="s">
        <v>230</v>
      </c>
      <c r="B12" s="15">
        <v>20</v>
      </c>
      <c r="C12" s="17" t="s">
        <v>39</v>
      </c>
      <c r="D12" s="13" t="s">
        <v>100</v>
      </c>
      <c r="E12" s="13" t="s">
        <v>34</v>
      </c>
      <c r="F12" s="13" t="s">
        <v>108</v>
      </c>
      <c r="G12" s="15">
        <v>6.0011574074074071E-2</v>
      </c>
      <c r="H12" s="15" t="s">
        <v>229</v>
      </c>
      <c r="I12" s="16">
        <f>IF(C12="",0,IF(OR(A12="",A12="DNS"),0,IF(A12="DNF",1,IF(ISNUMBER(A12),IF($I$2="J",IF(A12&lt;=11,VLOOKUP(A12,Punten!$A$2:$C$31,3,FALSE()),1),IF(A12&lt;=30,VLOOKUP(A12,Punten!$A$2:$C$31,2,FALSE()),1)),0))))</f>
        <v>0</v>
      </c>
    </row>
    <row r="13" spans="1:9" x14ac:dyDescent="0.25">
      <c r="A13" s="12" t="s">
        <v>231</v>
      </c>
      <c r="B13" s="15">
        <v>35</v>
      </c>
      <c r="C13" s="17" t="s">
        <v>38</v>
      </c>
      <c r="D13" s="13" t="s">
        <v>100</v>
      </c>
      <c r="E13" s="13" t="s">
        <v>34</v>
      </c>
      <c r="F13" s="13" t="s">
        <v>108</v>
      </c>
      <c r="G13" s="15">
        <v>6.0011574074074071E-2</v>
      </c>
      <c r="H13" s="15" t="s">
        <v>229</v>
      </c>
      <c r="I13" s="16">
        <f>IF(C13="",0,IF(OR(A13="",A13="DNS"),0,IF(A13="DNF",1,IF(ISNUMBER(A13),IF($I$2="J",IF(A13&lt;=11,VLOOKUP(A13,Punten!$A$2:$C$31,3,FALSE()),1),IF(A13&lt;=30,VLOOKUP(A13,Punten!$A$2:$C$31,2,FALSE()),1)),0))))</f>
        <v>0</v>
      </c>
    </row>
    <row r="14" spans="1:9" x14ac:dyDescent="0.25">
      <c r="A14" s="12" t="s">
        <v>232</v>
      </c>
      <c r="B14" s="15">
        <v>45</v>
      </c>
      <c r="C14" s="17" t="s">
        <v>47</v>
      </c>
      <c r="D14" s="13" t="s">
        <v>100</v>
      </c>
      <c r="E14" s="13" t="s">
        <v>34</v>
      </c>
      <c r="F14" s="13" t="s">
        <v>203</v>
      </c>
      <c r="G14" s="15">
        <v>6.0011574074074071E-2</v>
      </c>
      <c r="H14" s="15" t="s">
        <v>229</v>
      </c>
      <c r="I14" s="16">
        <f>IF(C14="",0,IF(OR(A14="",A14="DNS"),0,IF(A14="DNF",1,IF(ISNUMBER(A14),IF($I$2="J",IF(A14&lt;=11,VLOOKUP(A14,Punten!$A$2:$C$31,3,FALSE()),1),IF(A14&lt;=30,VLOOKUP(A14,Punten!$A$2:$C$31,2,FALSE()),1)),0))))</f>
        <v>0</v>
      </c>
    </row>
    <row r="15" spans="1:9" x14ac:dyDescent="0.25">
      <c r="A15" s="12" t="s">
        <v>233</v>
      </c>
      <c r="B15" s="15">
        <v>9</v>
      </c>
      <c r="C15" s="17" t="s">
        <v>234</v>
      </c>
      <c r="D15" s="13" t="s">
        <v>100</v>
      </c>
      <c r="E15" s="13" t="s">
        <v>49</v>
      </c>
      <c r="F15" s="13" t="s">
        <v>235</v>
      </c>
      <c r="G15" s="15">
        <v>6.0011574074074071E-2</v>
      </c>
      <c r="H15" s="15" t="s">
        <v>229</v>
      </c>
      <c r="I15" s="16">
        <f>IF(C15="",0,IF(OR(A15="",A15="DNS"),0,IF(A15="DNF",1,IF(ISNUMBER(A15),IF($I$2="J",IF(A15&lt;=11,VLOOKUP(A15,Punten!$A$2:$C$31,3,FALSE()),1),IF(A15&lt;=30,VLOOKUP(A15,Punten!$A$2:$C$31,2,FALSE()),1)),0))))</f>
        <v>0</v>
      </c>
    </row>
    <row r="16" spans="1:9" x14ac:dyDescent="0.25">
      <c r="A16" s="12" t="s">
        <v>236</v>
      </c>
      <c r="B16" s="15">
        <v>19</v>
      </c>
      <c r="C16" s="17" t="s">
        <v>44</v>
      </c>
      <c r="D16" s="13" t="s">
        <v>100</v>
      </c>
      <c r="E16" s="13" t="s">
        <v>34</v>
      </c>
      <c r="F16" s="13" t="s">
        <v>237</v>
      </c>
      <c r="G16" s="15">
        <v>6.0011574074074071E-2</v>
      </c>
      <c r="H16" s="15" t="s">
        <v>229</v>
      </c>
      <c r="I16" s="16">
        <f>IF(C16="",0,IF(OR(A16="",A16="DNS"),0,IF(A16="DNF",1,IF(ISNUMBER(A16),IF($I$2="J",IF(A16&lt;=11,VLOOKUP(A16,Punten!$A$2:$C$31,3,FALSE()),1),IF(A16&lt;=30,VLOOKUP(A16,Punten!$A$2:$C$31,2,FALSE()),1)),0))))</f>
        <v>0</v>
      </c>
    </row>
    <row r="17" spans="1:9" x14ac:dyDescent="0.25">
      <c r="A17" s="12" t="s">
        <v>214</v>
      </c>
      <c r="B17" s="15">
        <v>40</v>
      </c>
      <c r="C17" s="17" t="s">
        <v>42</v>
      </c>
      <c r="D17" s="13" t="s">
        <v>100</v>
      </c>
      <c r="E17" s="13" t="s">
        <v>34</v>
      </c>
      <c r="F17" s="13" t="s">
        <v>129</v>
      </c>
      <c r="G17" s="15">
        <v>6.0034722222222225E-2</v>
      </c>
      <c r="H17" s="15" t="s">
        <v>229</v>
      </c>
      <c r="I17" s="16">
        <f>IF(C17="",0,IF(OR(A17="",A17="DNS"),0,IF(A17="DNF",1,IF(ISNUMBER(A17),IF($I$2="J",IF(A17&lt;=11,VLOOKUP(A17,Punten!$A$2:$C$31,3,FALSE()),1),IF(A17&lt;=30,VLOOKUP(A17,Punten!$A$2:$C$31,2,FALSE()),1)),0))))</f>
        <v>0</v>
      </c>
    </row>
    <row r="18" spans="1:9" x14ac:dyDescent="0.25">
      <c r="A18" s="12" t="s">
        <v>215</v>
      </c>
      <c r="B18" s="15">
        <v>31</v>
      </c>
      <c r="C18" s="17" t="s">
        <v>50</v>
      </c>
      <c r="D18" s="13" t="s">
        <v>100</v>
      </c>
      <c r="E18" s="13" t="s">
        <v>49</v>
      </c>
      <c r="F18" s="13" t="s">
        <v>114</v>
      </c>
      <c r="G18" s="15">
        <v>6.0034722222222225E-2</v>
      </c>
      <c r="H18" s="15" t="s">
        <v>229</v>
      </c>
      <c r="I18" s="16">
        <f>IF(C18="",0,IF(OR(A18="",A18="DNS"),0,IF(A18="DNF",1,IF(ISNUMBER(A18),IF($I$2="J",IF(A18&lt;=11,VLOOKUP(A18,Punten!$A$2:$C$31,3,FALSE()),1),IF(A18&lt;=30,VLOOKUP(A18,Punten!$A$2:$C$31,2,FALSE()),1)),0))))</f>
        <v>0</v>
      </c>
    </row>
    <row r="19" spans="1:9" x14ac:dyDescent="0.25">
      <c r="A19" s="12" t="s">
        <v>238</v>
      </c>
      <c r="B19" s="15">
        <v>1</v>
      </c>
      <c r="C19" s="17" t="s">
        <v>239</v>
      </c>
      <c r="D19" s="13" t="s">
        <v>100</v>
      </c>
      <c r="E19" s="13" t="s">
        <v>34</v>
      </c>
      <c r="F19" s="13" t="s">
        <v>240</v>
      </c>
      <c r="G19" s="15">
        <v>6.0034722222222225E-2</v>
      </c>
      <c r="H19" s="15" t="s">
        <v>229</v>
      </c>
      <c r="I19" s="16">
        <f>IF(C19="",0,IF(OR(A19="",A19="DNS"),0,IF(A19="DNF",1,IF(ISNUMBER(A19),IF($I$2="J",IF(A19&lt;=11,VLOOKUP(A19,Punten!$A$2:$C$31,3,FALSE()),1),IF(A19&lt;=30,VLOOKUP(A19,Punten!$A$2:$C$31,2,FALSE()),1)),0))))</f>
        <v>0</v>
      </c>
    </row>
    <row r="20" spans="1:9" x14ac:dyDescent="0.25">
      <c r="A20" s="12" t="s">
        <v>241</v>
      </c>
      <c r="B20" s="15">
        <v>23</v>
      </c>
      <c r="C20" s="17" t="s">
        <v>242</v>
      </c>
      <c r="D20" s="13" t="s">
        <v>100</v>
      </c>
      <c r="E20" s="13" t="s">
        <v>34</v>
      </c>
      <c r="F20" s="13" t="s">
        <v>243</v>
      </c>
      <c r="G20" s="15">
        <v>6.0046296296296299E-2</v>
      </c>
      <c r="H20" s="15" t="s">
        <v>229</v>
      </c>
      <c r="I20" s="16">
        <f>IF(C20="",0,IF(OR(A20="",A20="DNS"),0,IF(A20="DNF",1,IF(ISNUMBER(A20),IF($I$2="J",IF(A20&lt;=11,VLOOKUP(A20,Punten!$A$2:$C$31,3,FALSE()),1),IF(A20&lt;=30,VLOOKUP(A20,Punten!$A$2:$C$31,2,FALSE()),1)),0))))</f>
        <v>0</v>
      </c>
    </row>
    <row r="21" spans="1:9" x14ac:dyDescent="0.25">
      <c r="A21" s="12" t="s">
        <v>244</v>
      </c>
      <c r="B21" s="15">
        <v>30</v>
      </c>
      <c r="C21" s="17" t="s">
        <v>115</v>
      </c>
      <c r="D21" s="13" t="s">
        <v>100</v>
      </c>
      <c r="E21" s="13" t="s">
        <v>34</v>
      </c>
      <c r="F21" s="13" t="s">
        <v>116</v>
      </c>
      <c r="G21" s="15">
        <v>6.0046296296296299E-2</v>
      </c>
      <c r="H21" s="15" t="s">
        <v>229</v>
      </c>
      <c r="I21" s="16">
        <f>IF(C21="",0,IF(OR(A21="",A21="DNS"),0,IF(A21="DNF",1,IF(ISNUMBER(A21),IF($I$2="J",IF(A21&lt;=11,VLOOKUP(A21,Punten!$A$2:$C$31,3,FALSE()),1),IF(A21&lt;=30,VLOOKUP(A21,Punten!$A$2:$C$31,2,FALSE()),1)),0))))</f>
        <v>0</v>
      </c>
    </row>
    <row r="22" spans="1:9" x14ac:dyDescent="0.25">
      <c r="A22" s="12" t="s">
        <v>245</v>
      </c>
      <c r="B22" s="15">
        <v>14</v>
      </c>
      <c r="C22" s="17" t="s">
        <v>246</v>
      </c>
      <c r="D22" s="13" t="s">
        <v>100</v>
      </c>
      <c r="E22" s="13" t="s">
        <v>34</v>
      </c>
      <c r="F22" s="13" t="s">
        <v>247</v>
      </c>
      <c r="G22" s="15">
        <v>6.0046296296296299E-2</v>
      </c>
      <c r="H22" s="15" t="s">
        <v>229</v>
      </c>
      <c r="I22" s="16">
        <f>IF(C22="",0,IF(OR(A22="",A22="DNS"),0,IF(A22="DNF",1,IF(ISNUMBER(A22),IF($I$2="J",IF(A22&lt;=11,VLOOKUP(A22,Punten!$A$2:$C$31,3,FALSE()),1),IF(A22&lt;=30,VLOOKUP(A22,Punten!$A$2:$C$31,2,FALSE()),1)),0))))</f>
        <v>0</v>
      </c>
    </row>
    <row r="23" spans="1:9" x14ac:dyDescent="0.25">
      <c r="A23" s="12" t="s">
        <v>248</v>
      </c>
      <c r="B23" s="15">
        <v>27</v>
      </c>
      <c r="C23" s="17" t="s">
        <v>249</v>
      </c>
      <c r="D23" s="13" t="s">
        <v>100</v>
      </c>
      <c r="E23" s="13" t="s">
        <v>49</v>
      </c>
      <c r="F23" s="13" t="s">
        <v>235</v>
      </c>
      <c r="G23" s="15">
        <v>6.0057870370370373E-2</v>
      </c>
      <c r="H23" s="15" t="s">
        <v>229</v>
      </c>
      <c r="I23" s="16">
        <f>IF(C23="",0,IF(OR(A23="",A23="DNS"),0,IF(A23="DNF",1,IF(ISNUMBER(A23),IF($I$2="J",IF(A23&lt;=11,VLOOKUP(A23,Punten!$A$2:$C$31,3,FALSE()),1),IF(A23&lt;=30,VLOOKUP(A23,Punten!$A$2:$C$31,2,FALSE()),1)),0))))</f>
        <v>0</v>
      </c>
    </row>
    <row r="24" spans="1:9" x14ac:dyDescent="0.25">
      <c r="A24" s="12" t="s">
        <v>250</v>
      </c>
      <c r="B24" s="15">
        <v>32</v>
      </c>
      <c r="C24" s="17" t="s">
        <v>251</v>
      </c>
      <c r="D24" s="13" t="s">
        <v>100</v>
      </c>
      <c r="E24" s="13" t="s">
        <v>34</v>
      </c>
      <c r="F24" s="13" t="s">
        <v>235</v>
      </c>
      <c r="G24" s="15">
        <v>6.0057870370370373E-2</v>
      </c>
      <c r="H24" s="15" t="s">
        <v>229</v>
      </c>
      <c r="I24" s="16">
        <f>IF(C24="",0,IF(OR(A24="",A24="DNS"),0,IF(A24="DNF",1,IF(ISNUMBER(A24),IF($I$2="J",IF(A24&lt;=11,VLOOKUP(A24,Punten!$A$2:$C$31,3,FALSE()),1),IF(A24&lt;=30,VLOOKUP(A24,Punten!$A$2:$C$31,2,FALSE()),1)),0))))</f>
        <v>0</v>
      </c>
    </row>
    <row r="25" spans="1:9" x14ac:dyDescent="0.25">
      <c r="A25" s="12" t="s">
        <v>252</v>
      </c>
      <c r="B25" s="15">
        <v>16</v>
      </c>
      <c r="C25" s="17" t="s">
        <v>253</v>
      </c>
      <c r="D25" s="13" t="s">
        <v>100</v>
      </c>
      <c r="E25" s="13" t="s">
        <v>34</v>
      </c>
      <c r="F25" s="13" t="s">
        <v>104</v>
      </c>
      <c r="G25" s="15">
        <v>6.0069444444444446E-2</v>
      </c>
      <c r="H25" s="15" t="s">
        <v>229</v>
      </c>
      <c r="I25" s="16">
        <f>IF(C25="",0,IF(OR(A25="",A25="DNS"),0,IF(A25="DNF",1,IF(ISNUMBER(A25),IF($I$2="J",IF(A25&lt;=11,VLOOKUP(A25,Punten!$A$2:$C$31,3,FALSE()),1),IF(A25&lt;=30,VLOOKUP(A25,Punten!$A$2:$C$31,2,FALSE()),1)),0))))</f>
        <v>0</v>
      </c>
    </row>
    <row r="26" spans="1:9" x14ac:dyDescent="0.25">
      <c r="A26" s="12" t="s">
        <v>254</v>
      </c>
      <c r="B26" s="15">
        <v>36</v>
      </c>
      <c r="C26" s="17" t="s">
        <v>255</v>
      </c>
      <c r="D26" s="13" t="s">
        <v>100</v>
      </c>
      <c r="E26" s="13" t="s">
        <v>34</v>
      </c>
      <c r="F26" s="13" t="s">
        <v>256</v>
      </c>
      <c r="G26" s="15">
        <v>6.0138888888888888E-2</v>
      </c>
      <c r="H26" s="15" t="s">
        <v>229</v>
      </c>
      <c r="I26" s="16">
        <f>IF(C26="",0,IF(OR(A26="",A26="DNS"),0,IF(A26="DNF",1,IF(ISNUMBER(A26),IF($I$2="J",IF(A26&lt;=11,VLOOKUP(A26,Punten!$A$2:$C$31,3,FALSE()),1),IF(A26&lt;=30,VLOOKUP(A26,Punten!$A$2:$C$31,2,FALSE()),1)),0))))</f>
        <v>0</v>
      </c>
    </row>
    <row r="27" spans="1:9" x14ac:dyDescent="0.25">
      <c r="A27" s="12" t="s">
        <v>257</v>
      </c>
      <c r="B27" s="15">
        <v>47</v>
      </c>
      <c r="C27" s="17" t="s">
        <v>258</v>
      </c>
      <c r="D27" s="13" t="s">
        <v>100</v>
      </c>
      <c r="E27" s="13" t="s">
        <v>34</v>
      </c>
      <c r="F27" s="13" t="s">
        <v>121</v>
      </c>
      <c r="G27" s="15">
        <v>6.0173611111111108E-2</v>
      </c>
      <c r="H27" s="15" t="s">
        <v>229</v>
      </c>
      <c r="I27" s="16">
        <f>IF(C27="",0,IF(OR(A27="",A27="DNS"),0,IF(A27="DNF",1,IF(ISNUMBER(A27),IF($I$2="J",IF(A27&lt;=11,VLOOKUP(A27,Punten!$A$2:$C$31,3,FALSE()),1),IF(A27&lt;=30,VLOOKUP(A27,Punten!$A$2:$C$31,2,FALSE()),1)),0))))</f>
        <v>0</v>
      </c>
    </row>
    <row r="28" spans="1:9" x14ac:dyDescent="0.25">
      <c r="A28" s="12" t="s">
        <v>259</v>
      </c>
      <c r="B28" s="15">
        <v>22</v>
      </c>
      <c r="C28" s="17" t="s">
        <v>260</v>
      </c>
      <c r="D28" s="13" t="s">
        <v>100</v>
      </c>
      <c r="E28" s="13" t="s">
        <v>34</v>
      </c>
      <c r="F28" s="13" t="s">
        <v>261</v>
      </c>
      <c r="G28" s="15">
        <v>5.4224537037037036E-2</v>
      </c>
      <c r="H28" s="15" t="s">
        <v>262</v>
      </c>
      <c r="I28" s="16">
        <f>IF(C28="",0,IF(OR(A28="",A28="DNS"),0,IF(A28="DNF",1,IF(ISNUMBER(A28),IF($I$2="J",IF(A28&lt;=11,VLOOKUP(A28,Punten!$A$2:$C$31,3,FALSE()),1),IF(A28&lt;=30,VLOOKUP(A28,Punten!$A$2:$C$31,2,FALSE()),1)),0))))</f>
        <v>0</v>
      </c>
    </row>
    <row r="29" spans="1:9" x14ac:dyDescent="0.25">
      <c r="A29" s="12" t="s">
        <v>263</v>
      </c>
      <c r="B29" s="15">
        <v>7</v>
      </c>
      <c r="C29" s="17" t="s">
        <v>264</v>
      </c>
      <c r="D29" s="13" t="s">
        <v>100</v>
      </c>
      <c r="E29" s="13" t="s">
        <v>49</v>
      </c>
      <c r="F29" s="13" t="s">
        <v>265</v>
      </c>
      <c r="G29" s="15">
        <v>5.7175925925925929E-2</v>
      </c>
      <c r="H29" s="15" t="s">
        <v>262</v>
      </c>
      <c r="I29" s="16">
        <f>IF(C29="",0,IF(OR(A29="",A29="DNS"),0,IF(A29="DNF",1,IF(ISNUMBER(A29),IF($I$2="J",IF(A29&lt;=11,VLOOKUP(A29,Punten!$A$2:$C$31,3,FALSE()),1),IF(A29&lt;=30,VLOOKUP(A29,Punten!$A$2:$C$31,2,FALSE()),1)),0))))</f>
        <v>0</v>
      </c>
    </row>
    <row r="30" spans="1:9" x14ac:dyDescent="0.25">
      <c r="A30" s="12" t="s">
        <v>266</v>
      </c>
      <c r="B30" s="15">
        <v>34</v>
      </c>
      <c r="C30" s="17" t="s">
        <v>267</v>
      </c>
      <c r="D30" s="13" t="s">
        <v>100</v>
      </c>
      <c r="E30" s="13" t="s">
        <v>49</v>
      </c>
      <c r="F30" s="13" t="s">
        <v>101</v>
      </c>
      <c r="G30" s="15">
        <v>5.4247685185185184E-2</v>
      </c>
      <c r="H30" s="15" t="s">
        <v>268</v>
      </c>
      <c r="I30" s="16">
        <f>IF(C30="",0,IF(OR(A30="",A30="DNS"),0,IF(A30="DNF",1,IF(ISNUMBER(A30),IF($I$2="J",IF(A30&lt;=11,VLOOKUP(A30,Punten!$A$2:$C$31,3,FALSE()),1),IF(A30&lt;=30,VLOOKUP(A30,Punten!$A$2:$C$31,2,FALSE()),1)),0))))</f>
        <v>0</v>
      </c>
    </row>
    <row r="31" spans="1:9" x14ac:dyDescent="0.25">
      <c r="A31" s="12" t="s">
        <v>269</v>
      </c>
      <c r="B31" s="15">
        <v>6</v>
      </c>
      <c r="C31" s="17" t="s">
        <v>270</v>
      </c>
      <c r="D31" s="13" t="s">
        <v>100</v>
      </c>
      <c r="E31" s="13" t="s">
        <v>49</v>
      </c>
      <c r="F31" s="13" t="s">
        <v>271</v>
      </c>
      <c r="G31" s="15">
        <v>5.4675925925925926E-2</v>
      </c>
      <c r="H31" s="15" t="s">
        <v>268</v>
      </c>
      <c r="I31" s="16">
        <f>IF(C31="",0,IF(OR(A31="",A31="DNS"),0,IF(A31="DNF",1,IF(ISNUMBER(A31),IF($I$2="J",IF(A31&lt;=11,VLOOKUP(A31,Punten!$A$2:$C$31,3,FALSE()),1),IF(A31&lt;=30,VLOOKUP(A31,Punten!$A$2:$C$31,2,FALSE()),1)),0))))</f>
        <v>0</v>
      </c>
    </row>
    <row r="32" spans="1:9" x14ac:dyDescent="0.25">
      <c r="A32" s="12" t="s">
        <v>272</v>
      </c>
      <c r="B32" s="15">
        <v>2</v>
      </c>
      <c r="C32" s="17" t="s">
        <v>66</v>
      </c>
      <c r="D32" s="13" t="s">
        <v>100</v>
      </c>
      <c r="E32" s="13" t="s">
        <v>49</v>
      </c>
      <c r="F32" s="13" t="s">
        <v>116</v>
      </c>
      <c r="G32" s="15">
        <v>5.4247685185185184E-2</v>
      </c>
      <c r="H32" s="15" t="s">
        <v>273</v>
      </c>
      <c r="I32" s="16">
        <f>IF(C32="",0,IF(OR(A32="",A32="DNS"),0,IF(A32="DNF",1,IF(ISNUMBER(A32),IF($I$2="J",IF(A32&lt;=11,VLOOKUP(A32,Punten!$A$2:$C$31,3,FALSE()),1),IF(A32&lt;=30,VLOOKUP(A32,Punten!$A$2:$C$31,2,FALSE()),1)),0))))</f>
        <v>0</v>
      </c>
    </row>
    <row r="33" spans="1:9" x14ac:dyDescent="0.25">
      <c r="A33" s="12" t="s">
        <v>65</v>
      </c>
      <c r="B33" s="15">
        <v>38</v>
      </c>
      <c r="C33" s="17" t="s">
        <v>43</v>
      </c>
      <c r="D33" s="13" t="s">
        <v>100</v>
      </c>
      <c r="E33" s="13" t="s">
        <v>34</v>
      </c>
      <c r="F33" s="13" t="s">
        <v>104</v>
      </c>
      <c r="G33" s="15">
        <v>5.0937499999999997E-2</v>
      </c>
      <c r="H33" s="15" t="s">
        <v>220</v>
      </c>
      <c r="I33" s="16">
        <f>IF(C33="",0,IF(OR(A33="",A33="DNS"),0,IF(A33="DNF",1,IF(ISNUMBER(A33),IF($I$2="J",IF(A33&lt;=11,VLOOKUP(A33,Punten!$A$2:$C$31,3,FALSE()),1),IF(A33&lt;=30,VLOOKUP(A33,Punten!$A$2:$C$31,2,FALSE()),1)),0))))</f>
        <v>1</v>
      </c>
    </row>
    <row r="34" spans="1:9" x14ac:dyDescent="0.25">
      <c r="A34" s="12" t="s">
        <v>65</v>
      </c>
      <c r="B34" s="15">
        <v>3</v>
      </c>
      <c r="C34" s="17" t="s">
        <v>274</v>
      </c>
      <c r="D34" s="13" t="s">
        <v>100</v>
      </c>
      <c r="E34" s="13" t="s">
        <v>49</v>
      </c>
      <c r="F34" s="13" t="s">
        <v>275</v>
      </c>
      <c r="G34" s="15">
        <v>4.4305555555555556E-2</v>
      </c>
      <c r="H34" s="15" t="s">
        <v>220</v>
      </c>
      <c r="I34" s="16">
        <f>IF(C34="",0,IF(OR(A34="",A34="DNS"),0,IF(A34="DNF",1,IF(ISNUMBER(A34),IF($I$2="J",IF(A34&lt;=11,VLOOKUP(A34,Punten!$A$2:$C$31,3,FALSE()),1),IF(A34&lt;=30,VLOOKUP(A34,Punten!$A$2:$C$31,2,FALSE()),1)),0))))</f>
        <v>1</v>
      </c>
    </row>
    <row r="35" spans="1:9" x14ac:dyDescent="0.25">
      <c r="A35" s="12" t="s">
        <v>65</v>
      </c>
      <c r="B35" s="15">
        <v>39</v>
      </c>
      <c r="C35" s="17" t="s">
        <v>119</v>
      </c>
      <c r="D35" s="13" t="s">
        <v>100</v>
      </c>
      <c r="E35" s="13" t="s">
        <v>49</v>
      </c>
      <c r="F35" s="13" t="s">
        <v>114</v>
      </c>
      <c r="G35" s="15">
        <v>3.3287037037037039E-2</v>
      </c>
      <c r="H35" s="15" t="s">
        <v>220</v>
      </c>
      <c r="I35" s="16">
        <f>IF(C35="",0,IF(OR(A35="",A35="DNS"),0,IF(A35="DNF",1,IF(ISNUMBER(A35),IF($I$2="J",IF(A35&lt;=11,VLOOKUP(A35,Punten!$A$2:$C$31,3,FALSE()),1),IF(A35&lt;=30,VLOOKUP(A35,Punten!$A$2:$C$31,2,FALSE()),1)),0))))</f>
        <v>1</v>
      </c>
    </row>
    <row r="36" spans="1:9" x14ac:dyDescent="0.25">
      <c r="A36" s="12" t="s">
        <v>65</v>
      </c>
      <c r="B36" s="15">
        <v>33</v>
      </c>
      <c r="C36" s="17" t="s">
        <v>276</v>
      </c>
      <c r="D36" s="13" t="s">
        <v>100</v>
      </c>
      <c r="E36" s="13" t="s">
        <v>49</v>
      </c>
      <c r="F36" s="13" t="s">
        <v>277</v>
      </c>
      <c r="G36" s="15">
        <v>2.3842592592592592E-2</v>
      </c>
      <c r="H36" s="15" t="s">
        <v>220</v>
      </c>
      <c r="I36" s="16">
        <f>IF(C36="",0,IF(OR(A36="",A36="DNS"),0,IF(A36="DNF",1,IF(ISNUMBER(A36),IF($I$2="J",IF(A36&lt;=11,VLOOKUP(A36,Punten!$A$2:$C$31,3,FALSE()),1),IF(A36&lt;=30,VLOOKUP(A36,Punten!$A$2:$C$31,2,FALSE()),1)),0))))</f>
        <v>1</v>
      </c>
    </row>
    <row r="37" spans="1:9" x14ac:dyDescent="0.25">
      <c r="A37" s="12" t="s">
        <v>65</v>
      </c>
      <c r="B37" s="15">
        <v>26</v>
      </c>
      <c r="C37" s="17" t="s">
        <v>74</v>
      </c>
      <c r="D37" s="13" t="s">
        <v>100</v>
      </c>
      <c r="E37" s="13" t="s">
        <v>34</v>
      </c>
      <c r="F37" s="13" t="s">
        <v>101</v>
      </c>
      <c r="G37" s="15">
        <v>2.5451388888888888E-2</v>
      </c>
      <c r="H37" s="15" t="s">
        <v>220</v>
      </c>
      <c r="I37" s="16">
        <f>IF(C37="",0,IF(OR(A37="",A37="DNS"),0,IF(A37="DNF",1,IF(ISNUMBER(A37),IF($I$2="J",IF(A37&lt;=11,VLOOKUP(A37,Punten!$A$2:$C$31,3,FALSE()),1),IF(A37&lt;=30,VLOOKUP(A37,Punten!$A$2:$C$31,2,FALSE()),1)),0))))</f>
        <v>1</v>
      </c>
    </row>
    <row r="38" spans="1:9" x14ac:dyDescent="0.25">
      <c r="A38" s="12" t="s">
        <v>65</v>
      </c>
      <c r="B38" s="15">
        <v>24</v>
      </c>
      <c r="C38" s="17" t="s">
        <v>36</v>
      </c>
      <c r="D38" s="13" t="s">
        <v>100</v>
      </c>
      <c r="E38" s="13" t="s">
        <v>34</v>
      </c>
      <c r="F38" s="13" t="s">
        <v>128</v>
      </c>
      <c r="G38" s="15">
        <v>2.2210648148148149E-2</v>
      </c>
      <c r="H38" s="15" t="s">
        <v>220</v>
      </c>
      <c r="I38" s="16">
        <f>IF(C38="",0,IF(OR(A38="",A38="DNS"),0,IF(A38="DNF",1,IF(ISNUMBER(A38),IF($I$2="J",IF(A38&lt;=11,VLOOKUP(A38,Punten!$A$2:$C$31,3,FALSE()),1),IF(A38&lt;=30,VLOOKUP(A38,Punten!$A$2:$C$31,2,FALSE()),1)),0))))</f>
        <v>1</v>
      </c>
    </row>
    <row r="39" spans="1:9" x14ac:dyDescent="0.25">
      <c r="A39" s="12" t="s">
        <v>65</v>
      </c>
      <c r="B39" s="15">
        <v>4</v>
      </c>
      <c r="C39" s="17" t="s">
        <v>278</v>
      </c>
      <c r="D39" s="13" t="s">
        <v>100</v>
      </c>
      <c r="E39" s="13" t="s">
        <v>34</v>
      </c>
      <c r="F39" s="13" t="s">
        <v>104</v>
      </c>
      <c r="G39" s="15">
        <v>2.2199074074074072E-2</v>
      </c>
      <c r="H39" s="15" t="s">
        <v>220</v>
      </c>
      <c r="I39" s="16">
        <f>IF(C39="",0,IF(OR(A39="",A39="DNS"),0,IF(A39="DNF",1,IF(ISNUMBER(A39),IF($I$2="J",IF(A39&lt;=11,VLOOKUP(A39,Punten!$A$2:$C$31,3,FALSE()),1),IF(A39&lt;=30,VLOOKUP(A39,Punten!$A$2:$C$31,2,FALSE()),1)),0))))</f>
        <v>1</v>
      </c>
    </row>
    <row r="40" spans="1:9" x14ac:dyDescent="0.25">
      <c r="A40" s="12" t="s">
        <v>65</v>
      </c>
      <c r="B40" s="15">
        <v>17</v>
      </c>
      <c r="C40" s="17" t="s">
        <v>37</v>
      </c>
      <c r="D40" s="13" t="s">
        <v>100</v>
      </c>
      <c r="E40" s="13" t="s">
        <v>34</v>
      </c>
      <c r="F40" s="13" t="s">
        <v>107</v>
      </c>
      <c r="G40" s="15">
        <v>1.6203703703703703E-2</v>
      </c>
      <c r="H40" s="15" t="s">
        <v>220</v>
      </c>
      <c r="I40" s="16">
        <f>IF(C40="",0,IF(OR(A40="",A40="DNS"),0,IF(A40="DNF",1,IF(ISNUMBER(A40),IF($I$2="J",IF(A40&lt;=11,VLOOKUP(A40,Punten!$A$2:$C$31,3,FALSE()),1),IF(A40&lt;=30,VLOOKUP(A40,Punten!$A$2:$C$31,2,FALSE()),1)),0))))</f>
        <v>1</v>
      </c>
    </row>
    <row r="41" spans="1:9" x14ac:dyDescent="0.25">
      <c r="A41" s="12" t="s">
        <v>65</v>
      </c>
      <c r="B41" s="15">
        <v>8</v>
      </c>
      <c r="C41" s="17" t="s">
        <v>279</v>
      </c>
      <c r="D41" s="13" t="s">
        <v>100</v>
      </c>
      <c r="E41" s="13" t="s">
        <v>34</v>
      </c>
      <c r="F41" s="13" t="s">
        <v>280</v>
      </c>
      <c r="G41" s="15">
        <v>1.1354166666666667E-2</v>
      </c>
      <c r="H41" s="15" t="s">
        <v>220</v>
      </c>
      <c r="I41" s="16">
        <f>IF(C41="",0,IF(OR(A41="",A41="DNS"),0,IF(A41="DNF",1,IF(ISNUMBER(A41),IF($I$2="J",IF(A41&lt;=11,VLOOKUP(A41,Punten!$A$2:$C$31,3,FALSE()),1),IF(A41&lt;=30,VLOOKUP(A41,Punten!$A$2:$C$31,2,FALSE()),1)),0))))</f>
        <v>1</v>
      </c>
    </row>
    <row r="42" spans="1:9" x14ac:dyDescent="0.25">
      <c r="A42" s="12" t="s">
        <v>65</v>
      </c>
      <c r="B42" s="15">
        <v>44</v>
      </c>
      <c r="C42" s="17" t="s">
        <v>56</v>
      </c>
      <c r="D42" s="13" t="s">
        <v>100</v>
      </c>
      <c r="E42" s="13" t="s">
        <v>34</v>
      </c>
      <c r="F42" s="13" t="s">
        <v>128</v>
      </c>
      <c r="G42" s="15">
        <v>1.5868055555555555E-2</v>
      </c>
      <c r="H42" s="15" t="s">
        <v>220</v>
      </c>
      <c r="I42" s="16">
        <f>IF(C42="",0,IF(OR(A42="",A42="DNS"),0,IF(A42="DNF",1,IF(ISNUMBER(A42),IF($I$2="J",IF(A42&lt;=11,VLOOKUP(A42,Punten!$A$2:$C$31,3,FALSE()),1),IF(A42&lt;=30,VLOOKUP(A42,Punten!$A$2:$C$31,2,FALSE()),1)),0))))</f>
        <v>1</v>
      </c>
    </row>
    <row r="43" spans="1:9" x14ac:dyDescent="0.25">
      <c r="A43" s="12" t="s">
        <v>65</v>
      </c>
      <c r="B43" s="15">
        <v>15</v>
      </c>
      <c r="C43" s="17" t="s">
        <v>55</v>
      </c>
      <c r="D43" s="13" t="s">
        <v>281</v>
      </c>
      <c r="E43" s="13" t="s">
        <v>34</v>
      </c>
      <c r="F43" s="13" t="s">
        <v>282</v>
      </c>
      <c r="G43" s="15">
        <v>5.6249999999999998E-3</v>
      </c>
      <c r="H43" s="15" t="s">
        <v>220</v>
      </c>
      <c r="I43" s="16">
        <f>IF(C43="",0,IF(OR(A43="",A43="DNS"),0,IF(A43="DNF",1,IF(ISNUMBER(A43),IF($I$2="J",IF(A43&lt;=11,VLOOKUP(A43,Punten!$A$2:$C$31,3,FALSE()),1),IF(A43&lt;=30,VLOOKUP(A43,Punten!$A$2:$C$31,2,FALSE()),1)),0))))</f>
        <v>1</v>
      </c>
    </row>
    <row r="44" spans="1:9" x14ac:dyDescent="0.25">
      <c r="A44" s="12" t="s">
        <v>65</v>
      </c>
      <c r="B44" s="15">
        <v>49</v>
      </c>
      <c r="C44" s="17" t="s">
        <v>45</v>
      </c>
      <c r="D44" s="13" t="s">
        <v>100</v>
      </c>
      <c r="E44" s="13" t="s">
        <v>34</v>
      </c>
      <c r="F44" s="13" t="s">
        <v>203</v>
      </c>
      <c r="G44" s="15">
        <v>5.7291666666666663E-3</v>
      </c>
      <c r="H44" s="15" t="s">
        <v>220</v>
      </c>
      <c r="I44" s="16">
        <f>IF(C44="",0,IF(OR(A44="",A44="DNS"),0,IF(A44="DNF",1,IF(ISNUMBER(A44),IF($I$2="J",IF(A44&lt;=11,VLOOKUP(A44,Punten!$A$2:$C$31,3,FALSE()),1),IF(A44&lt;=30,VLOOKUP(A44,Punten!$A$2:$C$31,2,FALSE()),1)),0))))</f>
        <v>1</v>
      </c>
    </row>
    <row r="45" spans="1:9" x14ac:dyDescent="0.25">
      <c r="A45" s="12" t="s">
        <v>65</v>
      </c>
      <c r="B45" s="15">
        <v>11</v>
      </c>
      <c r="C45" s="17" t="s">
        <v>283</v>
      </c>
      <c r="D45" s="13" t="s">
        <v>100</v>
      </c>
      <c r="E45" s="13" t="s">
        <v>34</v>
      </c>
      <c r="F45" s="13" t="s">
        <v>284</v>
      </c>
      <c r="G45" s="15">
        <v>4.2824074074074075E-3</v>
      </c>
      <c r="H45" s="15" t="s">
        <v>220</v>
      </c>
      <c r="I45" s="16">
        <f>IF(C45="",0,IF(OR(A45="",A45="DNS"),0,IF(A45="DNF",1,IF(ISNUMBER(A45),IF($I$2="J",IF(A45&lt;=11,VLOOKUP(A45,Punten!$A$2:$C$31,3,FALSE()),1),IF(A45&lt;=30,VLOOKUP(A45,Punten!$A$2:$C$31,2,FALSE()),1)),0))))</f>
        <v>1</v>
      </c>
    </row>
    <row r="46" spans="1:9" x14ac:dyDescent="0.25">
      <c r="A46" s="12" t="s">
        <v>65</v>
      </c>
      <c r="B46" s="15">
        <v>42</v>
      </c>
      <c r="C46" s="17" t="s">
        <v>76</v>
      </c>
      <c r="D46" s="13" t="s">
        <v>100</v>
      </c>
      <c r="E46" s="13" t="s">
        <v>34</v>
      </c>
      <c r="F46" s="13" t="s">
        <v>108</v>
      </c>
      <c r="G46" s="15">
        <v>2.8703703703703703E-3</v>
      </c>
      <c r="H46" s="15" t="s">
        <v>220</v>
      </c>
      <c r="I46" s="16">
        <f>IF(C46="",0,IF(OR(A46="",A46="DNS"),0,IF(A46="DNF",1,IF(ISNUMBER(A46),IF($I$2="J",IF(A46&lt;=11,VLOOKUP(A46,Punten!$A$2:$C$31,3,FALSE()),1),IF(A46&lt;=30,VLOOKUP(A46,Punten!$A$2:$C$31,2,FALSE()),1)),0))))</f>
        <v>1</v>
      </c>
    </row>
    <row r="47" spans="1:9" x14ac:dyDescent="0.25">
      <c r="A47" s="12"/>
      <c r="B47" s="15"/>
      <c r="C47" s="17"/>
      <c r="D47" s="13"/>
      <c r="E47" s="13"/>
      <c r="F47" s="13"/>
      <c r="G47" s="15"/>
      <c r="H47" s="15"/>
      <c r="I47" s="16">
        <f>IF(C47="",0,IF(OR(A47="",A47="DNS"),0,IF(A47="DNF",1,IF(ISNUMBER(A47),IF($I$2="J",IF(A47&lt;=11,VLOOKUP(A47,Punten!$A$2:$C$31,3,FALSE()),1),IF(A47&lt;=30,VLOOKUP(A47,Punten!$A$2:$C$31,2,FALSE()),1)),0))))</f>
        <v>0</v>
      </c>
    </row>
    <row r="48" spans="1:9" x14ac:dyDescent="0.25">
      <c r="A48" s="12"/>
      <c r="B48" s="15"/>
      <c r="C48" s="17"/>
      <c r="D48" s="13"/>
      <c r="E48" s="13"/>
      <c r="F48" s="13"/>
      <c r="G48" s="15"/>
      <c r="H48" s="15"/>
      <c r="I48" s="16">
        <f>IF(C48="",0,IF(OR(A48="",A48="DNS"),0,IF(A48="DNF",1,IF(ISNUMBER(A48),IF($I$2="J",IF(A48&lt;=11,VLOOKUP(A48,Punten!$A$2:$C$31,3,FALSE()),1),IF(A48&lt;=30,VLOOKUP(A48,Punten!$A$2:$C$31,2,FALSE()),1)),0))))</f>
        <v>0</v>
      </c>
    </row>
    <row r="49" spans="1:9" x14ac:dyDescent="0.25">
      <c r="A49" s="12"/>
      <c r="B49" s="15"/>
      <c r="C49" s="17"/>
      <c r="D49" s="13"/>
      <c r="E49" s="13"/>
      <c r="F49" s="13"/>
      <c r="G49" s="15"/>
      <c r="H49" s="15"/>
      <c r="I49" s="16">
        <f>IF(C49="",0,IF(OR(A49="",A49="DNS"),0,IF(A49="DNF",1,IF(ISNUMBER(A49),IF($I$2="J",IF(A49&lt;=11,VLOOKUP(A49,Punten!$A$2:$C$31,3,FALSE()),1),IF(A49&lt;=30,VLOOKUP(A49,Punten!$A$2:$C$31,2,FALSE()),1)),0))))</f>
        <v>0</v>
      </c>
    </row>
    <row r="50" spans="1:9" x14ac:dyDescent="0.25">
      <c r="A50" s="12"/>
      <c r="B50" s="15"/>
      <c r="C50" s="17"/>
      <c r="D50" s="13"/>
      <c r="E50" s="13"/>
      <c r="F50" s="13"/>
      <c r="G50" s="15"/>
      <c r="H50" s="15"/>
      <c r="I50" s="16">
        <f>IF(C50="",0,IF(OR(A50="",A50="DNS"),0,IF(A50="DNF",1,IF(ISNUMBER(A50),IF($I$2="J",IF(A50&lt;=11,VLOOKUP(A50,Punten!$A$2:$C$31,3,FALSE()),1),IF(A50&lt;=30,VLOOKUP(A50,Punten!$A$2:$C$31,2,FALSE()),1)),0))))</f>
        <v>0</v>
      </c>
    </row>
    <row r="51" spans="1:9" x14ac:dyDescent="0.25">
      <c r="A51" s="12"/>
      <c r="B51" s="15"/>
      <c r="C51" s="17"/>
      <c r="D51" s="13"/>
      <c r="E51" s="13"/>
      <c r="F51" s="13"/>
      <c r="G51" s="15"/>
      <c r="H51" s="15"/>
      <c r="I51" s="16">
        <f>IF(C51="",0,IF(OR(A51="",A51="DNS"),0,IF(A51="DNF",1,IF(ISNUMBER(A51),IF($I$2="J",IF(A51&lt;=11,VLOOKUP(A51,Punten!$A$2:$C$31,3,FALSE()),1),IF(A51&lt;=30,VLOOKUP(A51,Punten!$A$2:$C$31,2,FALSE()),1)),0))))</f>
        <v>0</v>
      </c>
    </row>
    <row r="52" spans="1:9" x14ac:dyDescent="0.25">
      <c r="A52" s="12"/>
      <c r="B52" s="15"/>
      <c r="C52" s="17"/>
      <c r="D52" s="13"/>
      <c r="E52" s="13"/>
      <c r="F52" s="13"/>
      <c r="G52" s="15"/>
      <c r="H52" s="15"/>
      <c r="I52" s="16">
        <f>IF(C52="",0,IF(OR(A52="",A52="DNS"),0,IF(A52="DNF",1,IF(ISNUMBER(A52),IF($I$2="J",IF(A52&lt;=11,VLOOKUP(A52,Punten!$A$2:$C$31,3,FALSE()),1),IF(A52&lt;=30,VLOOKUP(A52,Punten!$A$2:$C$31,2,FALSE()),1)),0))))</f>
        <v>0</v>
      </c>
    </row>
    <row r="53" spans="1:9" x14ac:dyDescent="0.25">
      <c r="A53" s="12"/>
      <c r="B53" s="15"/>
      <c r="C53" s="17"/>
      <c r="D53" s="13"/>
      <c r="E53" s="13"/>
      <c r="F53" s="13"/>
      <c r="G53" s="15"/>
      <c r="H53" s="15"/>
      <c r="I53" s="16">
        <f>IF(C53="",0,IF(OR(A53="",A53="DNS"),0,IF(A53="DNF",1,IF(ISNUMBER(A53),IF($I$2="J",IF(A53&lt;=11,VLOOKUP(A53,Punten!$A$2:$C$31,3,FALSE()),1),IF(A53&lt;=30,VLOOKUP(A53,Punten!$A$2:$C$31,2,FALSE()),1)),0))))</f>
        <v>0</v>
      </c>
    </row>
    <row r="54" spans="1:9" x14ac:dyDescent="0.25">
      <c r="A54" s="12"/>
      <c r="B54" s="15"/>
      <c r="C54" s="17"/>
      <c r="D54" s="13"/>
      <c r="E54" s="13"/>
      <c r="F54" s="13"/>
      <c r="G54" s="15"/>
      <c r="H54" s="15"/>
      <c r="I54" s="16">
        <f>IF(C54="",0,IF(OR(A54="",A54="DNS"),0,IF(A54="DNF",1,IF(ISNUMBER(A54),IF($I$2="J",IF(A54&lt;=11,VLOOKUP(A54,Punten!$A$2:$C$31,3,FALSE()),1),IF(A54&lt;=30,VLOOKUP(A54,Punten!$A$2:$C$31,2,FALSE()),1)),0))))</f>
        <v>0</v>
      </c>
    </row>
    <row r="55" spans="1:9" x14ac:dyDescent="0.25">
      <c r="A55" s="12"/>
      <c r="B55" s="15"/>
      <c r="C55" s="17"/>
      <c r="D55" s="13"/>
      <c r="E55" s="13"/>
      <c r="F55" s="13"/>
      <c r="G55" s="15"/>
      <c r="H55" s="15"/>
      <c r="I55" s="16">
        <f>IF(C55="",0,IF(OR(A55="",A55="DNS"),0,IF(A55="DNF",1,IF(ISNUMBER(A55),IF($I$2="J",IF(A55&lt;=11,VLOOKUP(A55,Punten!$A$2:$C$31,3,FALSE()),1),IF(A55&lt;=30,VLOOKUP(A55,Punten!$A$2:$C$31,2,FALSE()),1)),0))))</f>
        <v>0</v>
      </c>
    </row>
    <row r="56" spans="1:9" x14ac:dyDescent="0.25">
      <c r="A56" s="12"/>
      <c r="B56" s="15"/>
      <c r="C56" s="17"/>
      <c r="D56" s="13"/>
      <c r="E56" s="13"/>
      <c r="F56" s="13"/>
      <c r="G56" s="15"/>
      <c r="H56" s="15"/>
      <c r="I56" s="16">
        <f>IF(C56="",0,IF(OR(A56="",A56="DNS"),0,IF(A56="DNF",1,IF(ISNUMBER(A56),IF($I$2="J",IF(A56&lt;=11,VLOOKUP(A56,Punten!$A$2:$C$31,3,FALSE()),1),IF(A56&lt;=30,VLOOKUP(A56,Punten!$A$2:$C$31,2,FALSE()),1)),0))))</f>
        <v>0</v>
      </c>
    </row>
    <row r="57" spans="1:9" x14ac:dyDescent="0.25">
      <c r="A57" s="12"/>
      <c r="B57" s="15"/>
      <c r="C57" s="17"/>
      <c r="D57" s="13"/>
      <c r="E57" s="13"/>
      <c r="F57" s="13"/>
      <c r="G57" s="15"/>
      <c r="H57" s="15"/>
      <c r="I57" s="16">
        <f>IF(C57="",0,IF(OR(A57="",A57="DNS"),0,IF(A57="DNF",1,IF(ISNUMBER(A57),IF($I$2="J",IF(A57&lt;=11,VLOOKUP(A57,Punten!$A$2:$C$31,3,FALSE()),1),IF(A57&lt;=30,VLOOKUP(A57,Punten!$A$2:$C$31,2,FALSE()),1)),0))))</f>
        <v>0</v>
      </c>
    </row>
    <row r="58" spans="1:9" x14ac:dyDescent="0.25">
      <c r="A58" s="12"/>
      <c r="B58" s="15"/>
      <c r="C58" s="17"/>
      <c r="D58" s="13"/>
      <c r="E58" s="13"/>
      <c r="F58" s="13"/>
      <c r="G58" s="15"/>
      <c r="H58" s="15"/>
      <c r="I58" s="16">
        <f>IF(C58="",0,IF(OR(A58="",A58="DNS"),0,IF(A58="DNF",1,IF(ISNUMBER(A58),IF($I$2="J",IF(A58&lt;=11,VLOOKUP(A58,Punten!$A$2:$C$31,3,FALSE()),1),IF(A58&lt;=30,VLOOKUP(A58,Punten!$A$2:$C$31,2,FALSE()),1)),0))))</f>
        <v>0</v>
      </c>
    </row>
    <row r="59" spans="1:9" x14ac:dyDescent="0.25">
      <c r="A59" s="12"/>
      <c r="B59" s="15"/>
      <c r="C59" s="17"/>
      <c r="D59" s="13"/>
      <c r="E59" s="13"/>
      <c r="F59" s="13"/>
      <c r="G59" s="15"/>
      <c r="H59" s="15"/>
      <c r="I59" s="16">
        <f>IF(C59="",0,IF(OR(A59="",A59="DNS"),0,IF(A59="DNF",1,IF(ISNUMBER(A59),IF($I$2="J",IF(A59&lt;=11,VLOOKUP(A59,Punten!$A$2:$C$31,3,FALSE()),1),IF(A59&lt;=30,VLOOKUP(A59,Punten!$A$2:$C$31,2,FALSE()),1)),0))))</f>
        <v>0</v>
      </c>
    </row>
    <row r="60" spans="1:9" x14ac:dyDescent="0.25">
      <c r="A60" s="12"/>
      <c r="B60" s="15"/>
      <c r="C60" s="17"/>
      <c r="D60" s="13"/>
      <c r="E60" s="13"/>
      <c r="F60" s="13"/>
      <c r="G60" s="15"/>
      <c r="H60" s="15"/>
      <c r="I60" s="16">
        <f>IF(C60="",0,IF(OR(A60="",A60="DNS"),0,IF(A60="DNF",1,IF(ISNUMBER(A60),IF($I$2="J",IF(A60&lt;=11,VLOOKUP(A60,Punten!$A$2:$C$31,3,FALSE()),1),IF(A60&lt;=30,VLOOKUP(A60,Punten!$A$2:$C$31,2,FALSE()),1)),0))))</f>
        <v>0</v>
      </c>
    </row>
    <row r="61" spans="1:9" x14ac:dyDescent="0.25">
      <c r="A61" s="12"/>
      <c r="B61" s="15"/>
      <c r="C61" s="17"/>
      <c r="D61" s="13"/>
      <c r="E61" s="13"/>
      <c r="F61" s="13"/>
      <c r="G61" s="15"/>
      <c r="H61" s="15"/>
      <c r="I61" s="16">
        <f>IF(C61="",0,IF(OR(A61="",A61="DNS"),0,IF(A61="DNF",1,IF(ISNUMBER(A61),IF($I$2="J",IF(A61&lt;=11,VLOOKUP(A61,Punten!$A$2:$C$31,3,FALSE()),1),IF(A61&lt;=30,VLOOKUP(A61,Punten!$A$2:$C$31,2,FALSE()),1)),0))))</f>
        <v>0</v>
      </c>
    </row>
    <row r="62" spans="1:9" x14ac:dyDescent="0.25">
      <c r="A62" s="12"/>
      <c r="B62" s="15"/>
      <c r="C62" s="17"/>
      <c r="D62" s="13"/>
      <c r="E62" s="13"/>
      <c r="F62" s="13"/>
      <c r="G62" s="15"/>
      <c r="H62" s="15"/>
      <c r="I62" s="16">
        <f>IF(C62="",0,IF(OR(A62="",A62="DNS"),0,IF(A62="DNF",1,IF(ISNUMBER(A62),IF($I$2="J",IF(A62&lt;=11,VLOOKUP(A62,Punten!$A$2:$C$31,3,FALSE()),1),IF(A62&lt;=30,VLOOKUP(A62,Punten!$A$2:$C$31,2,FALSE()),1)),0))))</f>
        <v>0</v>
      </c>
    </row>
    <row r="63" spans="1:9" x14ac:dyDescent="0.25">
      <c r="A63" s="12"/>
      <c r="B63" s="15"/>
      <c r="C63" s="17"/>
      <c r="D63" s="13"/>
      <c r="E63" s="13"/>
      <c r="F63" s="13"/>
      <c r="G63" s="15"/>
      <c r="H63" s="15"/>
      <c r="I63" s="16">
        <f>IF(C63="",0,IF(OR(A63="",A63="DNS"),0,IF(A63="DNF",1,IF(ISNUMBER(A63),IF($I$2="J",IF(A63&lt;=11,VLOOKUP(A63,Punten!$A$2:$C$31,3,FALSE()),1),IF(A63&lt;=30,VLOOKUP(A63,Punten!$A$2:$C$31,2,FALSE()),1)),0))))</f>
        <v>0</v>
      </c>
    </row>
    <row r="64" spans="1:9" x14ac:dyDescent="0.25">
      <c r="A64" s="12"/>
      <c r="B64" s="15"/>
      <c r="C64" s="17"/>
      <c r="D64" s="13"/>
      <c r="E64" s="13"/>
      <c r="F64" s="13"/>
      <c r="G64" s="15"/>
      <c r="H64" s="15"/>
      <c r="I64" s="16">
        <f>IF(C64="",0,IF(OR(A64="",A64="DNS"),0,IF(A64="DNF",1,IF(ISNUMBER(A64),IF($I$2="J",IF(A64&lt;=11,VLOOKUP(A64,Punten!$A$2:$C$31,3,FALSE()),1),IF(A64&lt;=30,VLOOKUP(A64,Punten!$A$2:$C$31,2,FALSE()),1)),0))))</f>
        <v>0</v>
      </c>
    </row>
    <row r="65" spans="1:9" x14ac:dyDescent="0.25">
      <c r="A65" s="12"/>
      <c r="B65" s="15"/>
      <c r="C65" s="17"/>
      <c r="D65" s="13"/>
      <c r="E65" s="13"/>
      <c r="F65" s="13"/>
      <c r="G65" s="15"/>
      <c r="H65" s="15"/>
      <c r="I65" s="16">
        <f>IF(C65="",0,IF(OR(A65="",A65="DNS"),0,IF(A65="DNF",1,IF(ISNUMBER(A65),IF($I$2="J",IF(A65&lt;=11,VLOOKUP(A65,Punten!$A$2:$C$31,3,FALSE()),1),IF(A65&lt;=30,VLOOKUP(A65,Punten!$A$2:$C$31,2,FALSE()),1)),0))))</f>
        <v>0</v>
      </c>
    </row>
    <row r="66" spans="1:9" x14ac:dyDescent="0.25">
      <c r="A66" s="12"/>
      <c r="B66" s="15"/>
      <c r="C66" s="17"/>
      <c r="D66" s="13"/>
      <c r="E66" s="13"/>
      <c r="F66" s="13"/>
      <c r="G66" s="15"/>
      <c r="H66" s="15"/>
      <c r="I66" s="16">
        <f>IF(C66="",0,IF(OR(A66="",A66="DNS"),0,IF(A66="DNF",1,IF(ISNUMBER(A66),IF($I$2="J",IF(A66&lt;=11,VLOOKUP(A66,Punten!$A$2:$C$31,3,FALSE()),1),IF(A66&lt;=30,VLOOKUP(A66,Punten!$A$2:$C$31,2,FALSE()),1)),0))))</f>
        <v>0</v>
      </c>
    </row>
    <row r="67" spans="1:9" x14ac:dyDescent="0.25">
      <c r="A67" s="12"/>
      <c r="B67" s="15"/>
      <c r="C67" s="17"/>
      <c r="D67" s="13"/>
      <c r="E67" s="13"/>
      <c r="F67" s="13"/>
      <c r="G67" s="15"/>
      <c r="H67" s="15"/>
      <c r="I67" s="16">
        <f>IF(C67="",0,IF(OR(A67="",A67="DNS"),0,IF(A67="DNF",1,IF(ISNUMBER(A67),IF($I$2="J",IF(A67&lt;=11,VLOOKUP(A67,Punten!$A$2:$C$31,3,FALSE()),1),IF(A67&lt;=30,VLOOKUP(A67,Punten!$A$2:$C$31,2,FALSE()),1)),0))))</f>
        <v>0</v>
      </c>
    </row>
    <row r="68" spans="1:9" x14ac:dyDescent="0.25">
      <c r="A68" s="12"/>
      <c r="B68" s="15"/>
      <c r="C68" s="17"/>
      <c r="D68" s="13"/>
      <c r="E68" s="13"/>
      <c r="F68" s="13"/>
      <c r="G68" s="15"/>
      <c r="H68" s="15"/>
      <c r="I68" s="16">
        <f>IF(C68="",0,IF(OR(A68="",A68="DNS"),0,IF(A68="DNF",1,IF(ISNUMBER(A68),IF($I$2="J",IF(A68&lt;=11,VLOOKUP(A68,Punten!$A$2:$C$31,3,FALSE()),1),IF(A68&lt;=30,VLOOKUP(A68,Punten!$A$2:$C$31,2,FALSE()),1)),0))))</f>
        <v>0</v>
      </c>
    </row>
    <row r="69" spans="1:9" x14ac:dyDescent="0.25">
      <c r="A69" s="12"/>
      <c r="B69" s="15"/>
      <c r="C69" s="17"/>
      <c r="D69" s="13"/>
      <c r="E69" s="13"/>
      <c r="F69" s="13"/>
      <c r="G69" s="15"/>
      <c r="H69" s="15"/>
      <c r="I69" s="16">
        <f>IF(C69="",0,IF(OR(A69="",A69="DNS"),0,IF(A69="DNF",1,IF(ISNUMBER(A69),IF($I$2="J",IF(A69&lt;=11,VLOOKUP(A69,Punten!$A$2:$C$31,3,FALSE()),1),IF(A69&lt;=30,VLOOKUP(A69,Punten!$A$2:$C$31,2,FALSE()),1)),0))))</f>
        <v>0</v>
      </c>
    </row>
    <row r="70" spans="1:9" x14ac:dyDescent="0.25">
      <c r="A70" s="12"/>
      <c r="B70" s="15"/>
      <c r="C70" s="17"/>
      <c r="D70" s="13"/>
      <c r="E70" s="13"/>
      <c r="F70" s="13"/>
      <c r="G70" s="15"/>
      <c r="H70" s="15"/>
      <c r="I70" s="16">
        <f>IF(C70="",0,IF(OR(A70="",A70="DNS"),0,IF(A70="DNF",1,IF(ISNUMBER(A70),IF($I$2="J",IF(A70&lt;=11,VLOOKUP(A70,Punten!$A$2:$C$31,3,FALSE()),1),IF(A70&lt;=30,VLOOKUP(A70,Punten!$A$2:$C$31,2,FALSE()),1)),0))))</f>
        <v>0</v>
      </c>
    </row>
    <row r="71" spans="1:9" x14ac:dyDescent="0.25">
      <c r="A71" s="12"/>
      <c r="B71" s="15"/>
      <c r="C71" s="17"/>
      <c r="D71" s="13"/>
      <c r="E71" s="13"/>
      <c r="F71" s="13"/>
      <c r="G71" s="15"/>
      <c r="H71" s="15"/>
      <c r="I71" s="16">
        <f>IF(C71="",0,IF(OR(A71="",A71="DNS"),0,IF(A71="DNF",1,IF(ISNUMBER(A71),IF($I$2="J",IF(A71&lt;=11,VLOOKUP(A71,Punten!$A$2:$C$31,3,FALSE()),1),IF(A71&lt;=30,VLOOKUP(A71,Punten!$A$2:$C$31,2,FALSE()),1)),0))))</f>
        <v>0</v>
      </c>
    </row>
    <row r="72" spans="1:9" x14ac:dyDescent="0.25">
      <c r="A72" s="12"/>
      <c r="B72" s="15"/>
      <c r="C72" s="17"/>
      <c r="D72" s="13"/>
      <c r="E72" s="13"/>
      <c r="F72" s="13"/>
      <c r="G72" s="15"/>
      <c r="H72" s="15"/>
      <c r="I72" s="16">
        <f>IF(C72="",0,IF(OR(A72="",A72="DNS"),0,IF(A72="DNF",1,IF(ISNUMBER(A72),IF($I$2="J",IF(A72&lt;=11,VLOOKUP(A72,Punten!$A$2:$C$31,3,FALSE()),1),IF(A72&lt;=30,VLOOKUP(A72,Punten!$A$2:$C$31,2,FALSE()),1)),0))))</f>
        <v>0</v>
      </c>
    </row>
    <row r="73" spans="1:9" x14ac:dyDescent="0.25">
      <c r="A73" s="12"/>
      <c r="B73" s="15"/>
      <c r="C73" s="17"/>
      <c r="D73" s="13"/>
      <c r="E73" s="13"/>
      <c r="F73" s="13"/>
      <c r="G73" s="15"/>
      <c r="H73" s="15"/>
      <c r="I73" s="16">
        <f>IF(C73="",0,IF(OR(A73="",A73="DNS"),0,IF(A73="DNF",1,IF(ISNUMBER(A73),IF($I$2="J",IF(A73&lt;=11,VLOOKUP(A73,Punten!$A$2:$C$31,3,FALSE()),1),IF(A73&lt;=30,VLOOKUP(A73,Punten!$A$2:$C$31,2,FALSE()),1)),0))))</f>
        <v>0</v>
      </c>
    </row>
    <row r="74" spans="1:9" x14ac:dyDescent="0.25">
      <c r="A74" s="12"/>
      <c r="B74" s="15"/>
      <c r="C74" s="17"/>
      <c r="D74" s="13"/>
      <c r="E74" s="13"/>
      <c r="F74" s="13"/>
      <c r="G74" s="15"/>
      <c r="H74" s="15"/>
      <c r="I74" s="16">
        <f>IF(C74="",0,IF(OR(A74="",A74="DNS"),0,IF(A74="DNF",1,IF(ISNUMBER(A74),IF($I$2="J",IF(A74&lt;=11,VLOOKUP(A74,Punten!$A$2:$C$31,3,FALSE()),1),IF(A74&lt;=30,VLOOKUP(A74,Punten!$A$2:$C$31,2,FALSE()),1)),0))))</f>
        <v>0</v>
      </c>
    </row>
    <row r="75" spans="1:9" x14ac:dyDescent="0.25">
      <c r="A75" s="12"/>
      <c r="B75" s="15"/>
      <c r="C75" s="17"/>
      <c r="D75" s="13"/>
      <c r="E75" s="13"/>
      <c r="F75" s="13"/>
      <c r="G75" s="15"/>
      <c r="H75" s="15"/>
      <c r="I75" s="16">
        <f>IF(C75="",0,IF(OR(A75="",A75="DNS"),0,IF(A75="DNF",1,IF(ISNUMBER(A75),IF($I$2="J",IF(A75&lt;=11,VLOOKUP(A75,Punten!$A$2:$C$31,3,FALSE()),1),IF(A75&lt;=30,VLOOKUP(A75,Punten!$A$2:$C$31,2,FALSE()),1)),0))))</f>
        <v>0</v>
      </c>
    </row>
    <row r="76" spans="1:9" x14ac:dyDescent="0.25">
      <c r="A76" s="12"/>
      <c r="B76" s="15"/>
      <c r="C76" s="17"/>
      <c r="D76" s="13"/>
      <c r="E76" s="13"/>
      <c r="F76" s="13"/>
      <c r="G76" s="15"/>
      <c r="H76" s="15"/>
      <c r="I76" s="16">
        <f>IF(C76="",0,IF(OR(A76="",A76="DNS"),0,IF(A76="DNF",1,IF(ISNUMBER(A76),IF($I$2="J",IF(A76&lt;=11,VLOOKUP(A76,Punten!$A$2:$C$31,3,FALSE()),1),IF(A76&lt;=30,VLOOKUP(A76,Punten!$A$2:$C$31,2,FALSE()),1)),0))))</f>
        <v>0</v>
      </c>
    </row>
    <row r="77" spans="1:9" x14ac:dyDescent="0.25">
      <c r="A77" s="12"/>
      <c r="B77" s="15"/>
      <c r="C77" s="17"/>
      <c r="D77" s="13"/>
      <c r="E77" s="13"/>
      <c r="F77" s="13"/>
      <c r="G77" s="15"/>
      <c r="H77" s="15"/>
      <c r="I77" s="16">
        <f>IF(C77="",0,IF(OR(A77="",A77="DNS"),0,IF(A77="DNF",1,IF(ISNUMBER(A77),IF($I$2="J",IF(A77&lt;=11,VLOOKUP(A77,Punten!$A$2:$C$31,3,FALSE()),1),IF(A77&lt;=30,VLOOKUP(A77,Punten!$A$2:$C$31,2,FALSE()),1)),0))))</f>
        <v>0</v>
      </c>
    </row>
    <row r="78" spans="1:9" x14ac:dyDescent="0.25">
      <c r="A78" s="12"/>
      <c r="B78" s="15"/>
      <c r="C78" s="17"/>
      <c r="D78" s="13"/>
      <c r="E78" s="13"/>
      <c r="F78" s="13"/>
      <c r="G78" s="15"/>
      <c r="H78" s="15"/>
      <c r="I78" s="16">
        <f>IF(C78="",0,IF(OR(A78="",A78="DNS"),0,IF(A78="DNF",1,IF(ISNUMBER(A78),IF($I$2="J",IF(A78&lt;=11,VLOOKUP(A78,Punten!$A$2:$C$31,3,FALSE()),1),IF(A78&lt;=30,VLOOKUP(A78,Punten!$A$2:$C$31,2,FALSE()),1)),0))))</f>
        <v>0</v>
      </c>
    </row>
    <row r="79" spans="1:9" x14ac:dyDescent="0.25">
      <c r="A79" s="12"/>
      <c r="B79" s="15"/>
      <c r="C79" s="17"/>
      <c r="D79" s="13"/>
      <c r="E79" s="13"/>
      <c r="F79" s="13"/>
      <c r="G79" s="15"/>
      <c r="H79" s="15"/>
      <c r="I79" s="16">
        <f>IF(C79="",0,IF(OR(A79="",A79="DNS"),0,IF(A79="DNF",1,IF(ISNUMBER(A79),IF($I$2="J",IF(A79&lt;=11,VLOOKUP(A79,Punten!$A$2:$C$31,3,FALSE()),1),IF(A79&lt;=30,VLOOKUP(A79,Punten!$A$2:$C$31,2,FALSE()),1)),0))))</f>
        <v>0</v>
      </c>
    </row>
    <row r="80" spans="1:9" x14ac:dyDescent="0.25">
      <c r="A80" s="12"/>
      <c r="B80" s="15"/>
      <c r="C80" s="17"/>
      <c r="D80" s="13"/>
      <c r="E80" s="13"/>
      <c r="F80" s="13"/>
      <c r="G80" s="15"/>
      <c r="H80" s="15"/>
      <c r="I80" s="16">
        <f>IF(C80="",0,IF(OR(A80="",A80="DNS"),0,IF(A80="DNF",1,IF(ISNUMBER(A80),IF($I$2="J",IF(A80&lt;=11,VLOOKUP(A80,Punten!$A$2:$C$31,3,FALSE()),1),IF(A80&lt;=30,VLOOKUP(A80,Punten!$A$2:$C$31,2,FALSE()),1)),0))))</f>
        <v>0</v>
      </c>
    </row>
    <row r="81" spans="1:9" x14ac:dyDescent="0.25">
      <c r="A81" s="12"/>
      <c r="B81" s="15"/>
      <c r="C81" s="17"/>
      <c r="D81" s="13"/>
      <c r="E81" s="13"/>
      <c r="F81" s="13"/>
      <c r="G81" s="15"/>
      <c r="H81" s="15"/>
      <c r="I81" s="16">
        <f>IF(C81="",0,IF(OR(A81="",A81="DNS"),0,IF(A81="DNF",1,IF(ISNUMBER(A81),IF($I$2="J",IF(A81&lt;=11,VLOOKUP(A81,Punten!$A$2:$C$31,3,FALSE()),1),IF(A81&lt;=30,VLOOKUP(A81,Punten!$A$2:$C$31,2,FALSE()),1)),0))))</f>
        <v>0</v>
      </c>
    </row>
    <row r="82" spans="1:9" x14ac:dyDescent="0.25">
      <c r="A82" s="12"/>
      <c r="B82" s="15"/>
      <c r="C82" s="17"/>
      <c r="D82" s="13"/>
      <c r="E82" s="13"/>
      <c r="F82" s="13"/>
      <c r="G82" s="15"/>
      <c r="H82" s="15"/>
      <c r="I82" s="16">
        <f>IF(C82="",0,IF(OR(A82="",A82="DNS"),0,IF(A82="DNF",1,IF(ISNUMBER(A82),IF($I$2="J",IF(A82&lt;=11,VLOOKUP(A82,Punten!$A$2:$C$31,3,FALSE()),1),IF(A82&lt;=30,VLOOKUP(A82,Punten!$A$2:$C$31,2,FALSE()),1)),0))))</f>
        <v>0</v>
      </c>
    </row>
    <row r="83" spans="1:9" x14ac:dyDescent="0.25">
      <c r="A83" s="12"/>
      <c r="B83" s="15"/>
      <c r="C83" s="17"/>
      <c r="D83" s="13"/>
      <c r="E83" s="13"/>
      <c r="F83" s="13"/>
      <c r="G83" s="15"/>
      <c r="H83" s="15"/>
      <c r="I83" s="16">
        <f>IF(C83="",0,IF(OR(A83="",A83="DNS"),0,IF(A83="DNF",1,IF(ISNUMBER(A83),IF($I$2="J",IF(A83&lt;=11,VLOOKUP(A83,Punten!$A$2:$C$31,3,FALSE()),1),IF(A83&lt;=30,VLOOKUP(A83,Punten!$A$2:$C$31,2,FALSE()),1)),0))))</f>
        <v>0</v>
      </c>
    </row>
    <row r="84" spans="1:9" x14ac:dyDescent="0.25">
      <c r="A84" s="12"/>
      <c r="B84" s="15"/>
      <c r="C84" s="17"/>
      <c r="D84" s="13"/>
      <c r="E84" s="13"/>
      <c r="F84" s="13"/>
      <c r="G84" s="15"/>
      <c r="H84" s="15"/>
      <c r="I84" s="16">
        <f>IF(C84="",0,IF(OR(A84="",A84="DNS"),0,IF(A84="DNF",1,IF(ISNUMBER(A84),IF($I$2="J",IF(A84&lt;=11,VLOOKUP(A84,Punten!$A$2:$C$31,3,FALSE()),1),IF(A84&lt;=30,VLOOKUP(A84,Punten!$A$2:$C$31,2,FALSE()),1)),0))))</f>
        <v>0</v>
      </c>
    </row>
    <row r="85" spans="1:9" x14ac:dyDescent="0.25">
      <c r="A85" s="12"/>
      <c r="B85" s="15"/>
      <c r="C85" s="17"/>
      <c r="D85" s="13"/>
      <c r="E85" s="13"/>
      <c r="F85" s="13"/>
      <c r="G85" s="15"/>
      <c r="H85" s="15"/>
      <c r="I85" s="16">
        <f>IF(C85="",0,IF(OR(A85="",A85="DNS"),0,IF(A85="DNF",1,IF(ISNUMBER(A85),IF($I$2="J",IF(A85&lt;=11,VLOOKUP(A85,Punten!$A$2:$C$31,3,FALSE()),1),IF(A85&lt;=30,VLOOKUP(A85,Punten!$A$2:$C$31,2,FALSE()),1)),0))))</f>
        <v>0</v>
      </c>
    </row>
    <row r="86" spans="1:9" x14ac:dyDescent="0.25">
      <c r="A86" s="12"/>
      <c r="B86" s="15"/>
      <c r="C86" s="17"/>
      <c r="D86" s="13"/>
      <c r="E86" s="13"/>
      <c r="F86" s="13"/>
      <c r="G86" s="15"/>
      <c r="H86" s="15"/>
      <c r="I86" s="16">
        <f>IF(C86="",0,IF(OR(A86="",A86="DNS"),0,IF(A86="DNF",1,IF(ISNUMBER(A86),IF($I$2="J",IF(A86&lt;=11,VLOOKUP(A86,Punten!$A$2:$C$31,3,FALSE()),1),IF(A86&lt;=30,VLOOKUP(A86,Punten!$A$2:$C$31,2,FALSE()),1)),0))))</f>
        <v>0</v>
      </c>
    </row>
    <row r="87" spans="1:9" x14ac:dyDescent="0.25">
      <c r="A87" s="12"/>
      <c r="B87" s="15"/>
      <c r="C87" s="17"/>
      <c r="D87" s="13"/>
      <c r="E87" s="13"/>
      <c r="F87" s="13"/>
      <c r="G87" s="15"/>
      <c r="H87" s="15"/>
      <c r="I87" s="16">
        <f>IF(C87="",0,IF(OR(A87="",A87="DNS"),0,IF(A87="DNF",1,IF(ISNUMBER(A87),IF($I$2="J",IF(A87&lt;=11,VLOOKUP(A87,Punten!$A$2:$C$31,3,FALSE()),1),IF(A87&lt;=30,VLOOKUP(A87,Punten!$A$2:$C$31,2,FALSE()),1)),0))))</f>
        <v>0</v>
      </c>
    </row>
    <row r="88" spans="1:9" x14ac:dyDescent="0.25">
      <c r="A88" s="12"/>
      <c r="B88" s="15"/>
      <c r="C88" s="17"/>
      <c r="D88" s="13"/>
      <c r="E88" s="13"/>
      <c r="F88" s="13"/>
      <c r="G88" s="15"/>
      <c r="H88" s="15"/>
      <c r="I88" s="16">
        <f>IF(C88="",0,IF(OR(A88="",A88="DNS"),0,IF(A88="DNF",1,IF(ISNUMBER(A88),IF($I$2="J",IF(A88&lt;=11,VLOOKUP(A88,Punten!$A$2:$C$31,3,FALSE()),1),IF(A88&lt;=30,VLOOKUP(A88,Punten!$A$2:$C$31,2,FALSE()),1)),0))))</f>
        <v>0</v>
      </c>
    </row>
    <row r="89" spans="1:9" x14ac:dyDescent="0.25">
      <c r="A89" s="12"/>
      <c r="B89" s="15"/>
      <c r="C89" s="17"/>
      <c r="D89" s="13"/>
      <c r="E89" s="13"/>
      <c r="F89" s="13"/>
      <c r="G89" s="15"/>
      <c r="H89" s="15"/>
      <c r="I89" s="16">
        <f>IF(C89="",0,IF(OR(A89="",A89="DNS"),0,IF(A89="DNF",1,IF(ISNUMBER(A89),IF($I$2="J",IF(A89&lt;=11,VLOOKUP(A89,Punten!$A$2:$C$31,3,FALSE()),1),IF(A89&lt;=30,VLOOKUP(A89,Punten!$A$2:$C$31,2,FALSE()),1)),0))))</f>
        <v>0</v>
      </c>
    </row>
    <row r="90" spans="1:9" x14ac:dyDescent="0.25">
      <c r="A90" s="12"/>
      <c r="B90" s="15"/>
      <c r="C90" s="17"/>
      <c r="D90" s="13"/>
      <c r="E90" s="13"/>
      <c r="F90" s="13"/>
      <c r="G90" s="15"/>
      <c r="H90" s="15"/>
      <c r="I90" s="16">
        <f>IF(C90="",0,IF(OR(A90="",A90="DNS"),0,IF(A90="DNF",1,IF(ISNUMBER(A90),IF($I$2="J",IF(A90&lt;=11,VLOOKUP(A90,Punten!$A$2:$C$31,3,FALSE()),1),IF(A90&lt;=30,VLOOKUP(A90,Punten!$A$2:$C$31,2,FALSE()),1)),0))))</f>
        <v>0</v>
      </c>
    </row>
    <row r="91" spans="1:9" x14ac:dyDescent="0.25">
      <c r="A91" s="12"/>
      <c r="B91" s="15"/>
      <c r="C91" s="17"/>
      <c r="D91" s="13"/>
      <c r="E91" s="13"/>
      <c r="F91" s="13"/>
      <c r="G91" s="15"/>
      <c r="H91" s="15"/>
      <c r="I91" s="16">
        <f>IF(C91="",0,IF(OR(A91="",A91="DNS"),0,IF(A91="DNF",1,IF(ISNUMBER(A91),IF($I$2="J",IF(A91&lt;=11,VLOOKUP(A91,Punten!$A$2:$C$31,3,FALSE()),1),IF(A91&lt;=30,VLOOKUP(A91,Punten!$A$2:$C$31,2,FALSE()),1)),0))))</f>
        <v>0</v>
      </c>
    </row>
    <row r="92" spans="1:9" x14ac:dyDescent="0.25">
      <c r="A92" s="12"/>
      <c r="B92" s="15"/>
      <c r="C92" s="17"/>
      <c r="D92" s="13"/>
      <c r="E92" s="13"/>
      <c r="F92" s="13"/>
      <c r="G92" s="15"/>
      <c r="H92" s="15"/>
      <c r="I92" s="16">
        <f>IF(C92="",0,IF(OR(A92="",A92="DNS"),0,IF(A92="DNF",1,IF(ISNUMBER(A92),IF($I$2="J",IF(A92&lt;=11,VLOOKUP(A92,Punten!$A$2:$C$31,3,FALSE()),1),IF(A92&lt;=30,VLOOKUP(A92,Punten!$A$2:$C$31,2,FALSE()),1)),0))))</f>
        <v>0</v>
      </c>
    </row>
    <row r="93" spans="1:9" x14ac:dyDescent="0.25">
      <c r="A93" s="12"/>
      <c r="B93" s="15"/>
      <c r="C93" s="17"/>
      <c r="D93" s="13"/>
      <c r="E93" s="13"/>
      <c r="F93" s="13"/>
      <c r="G93" s="15"/>
      <c r="H93" s="15"/>
      <c r="I93" s="16">
        <f>IF(C93="",0,IF(OR(A93="",A93="DNS"),0,IF(A93="DNF",1,IF(ISNUMBER(A93),IF($I$2="J",IF(A93&lt;=11,VLOOKUP(A93,Punten!$A$2:$C$31,3,FALSE()),1),IF(A93&lt;=30,VLOOKUP(A93,Punten!$A$2:$C$31,2,FALSE()),1)),0))))</f>
        <v>0</v>
      </c>
    </row>
    <row r="94" spans="1:9" x14ac:dyDescent="0.25">
      <c r="A94" s="12"/>
      <c r="B94" s="15"/>
      <c r="C94" s="17"/>
      <c r="D94" s="13"/>
      <c r="E94" s="13"/>
      <c r="F94" s="13"/>
      <c r="G94" s="15"/>
      <c r="H94" s="15"/>
      <c r="I94" s="16">
        <f>IF(C94="",0,IF(OR(A94="",A94="DNS"),0,IF(A94="DNF",1,IF(ISNUMBER(A94),IF($I$2="J",IF(A94&lt;=11,VLOOKUP(A94,Punten!$A$2:$C$31,3,FALSE()),1),IF(A94&lt;=30,VLOOKUP(A94,Punten!$A$2:$C$31,2,FALSE()),1)),0))))</f>
        <v>0</v>
      </c>
    </row>
    <row r="95" spans="1:9" x14ac:dyDescent="0.25">
      <c r="A95" s="12"/>
      <c r="B95" s="15"/>
      <c r="C95" s="17"/>
      <c r="D95" s="13"/>
      <c r="E95" s="13"/>
      <c r="F95" s="13"/>
      <c r="G95" s="15"/>
      <c r="H95" s="15"/>
      <c r="I95" s="16">
        <f>IF(C95="",0,IF(OR(A95="",A95="DNS"),0,IF(A95="DNF",1,IF(ISNUMBER(A95),IF($I$2="J",IF(A95&lt;=11,VLOOKUP(A95,Punten!$A$2:$C$31,3,FALSE()),1),IF(A95&lt;=30,VLOOKUP(A95,Punten!$A$2:$C$31,2,FALSE()),1)),0))))</f>
        <v>0</v>
      </c>
    </row>
    <row r="96" spans="1:9" x14ac:dyDescent="0.25">
      <c r="A96" s="12"/>
      <c r="B96" s="15"/>
      <c r="C96" s="17"/>
      <c r="D96" s="13"/>
      <c r="E96" s="13"/>
      <c r="F96" s="13"/>
      <c r="G96" s="15"/>
      <c r="H96" s="15"/>
      <c r="I96" s="16">
        <f>IF(C96="",0,IF(OR(A96="",A96="DNS"),0,IF(A96="DNF",1,IF(ISNUMBER(A96),IF($I$2="J",IF(A96&lt;=11,VLOOKUP(A96,Punten!$A$2:$C$31,3,FALSE()),1),IF(A96&lt;=30,VLOOKUP(A96,Punten!$A$2:$C$31,2,FALSE()),1)),0))))</f>
        <v>0</v>
      </c>
    </row>
    <row r="97" spans="1:9" x14ac:dyDescent="0.25">
      <c r="A97" s="12"/>
      <c r="B97" s="15"/>
      <c r="C97" s="17"/>
      <c r="D97" s="13"/>
      <c r="E97" s="13"/>
      <c r="F97" s="13"/>
      <c r="G97" s="15"/>
      <c r="H97" s="15"/>
      <c r="I97" s="16">
        <f>IF(C97="",0,IF(OR(A97="",A97="DNS"),0,IF(A97="DNF",1,IF(ISNUMBER(A97),IF($I$2="J",IF(A97&lt;=11,VLOOKUP(A97,Punten!$A$2:$C$31,3,FALSE()),1),IF(A97&lt;=30,VLOOKUP(A97,Punten!$A$2:$C$31,2,FALSE()),1)),0))))</f>
        <v>0</v>
      </c>
    </row>
    <row r="98" spans="1:9" x14ac:dyDescent="0.25">
      <c r="A98" s="12"/>
      <c r="B98" s="15"/>
      <c r="C98" s="17"/>
      <c r="D98" s="13"/>
      <c r="E98" s="13"/>
      <c r="F98" s="13"/>
      <c r="G98" s="15"/>
      <c r="H98" s="15"/>
      <c r="I98" s="16">
        <f>IF(C98="",0,IF(OR(A98="",A98="DNS"),0,IF(A98="DNF",1,IF(ISNUMBER(A98),IF($I$2="J",IF(A98&lt;=11,VLOOKUP(A98,Punten!$A$2:$C$31,3,FALSE()),1),IF(A98&lt;=30,VLOOKUP(A98,Punten!$A$2:$C$31,2,FALSE()),1)),0))))</f>
        <v>0</v>
      </c>
    </row>
    <row r="99" spans="1:9" x14ac:dyDescent="0.25">
      <c r="A99" s="12"/>
      <c r="B99" s="15"/>
      <c r="C99" s="17"/>
      <c r="D99" s="13"/>
      <c r="E99" s="13"/>
      <c r="F99" s="13"/>
      <c r="G99" s="15"/>
      <c r="H99" s="15"/>
      <c r="I99" s="16">
        <f>IF(C99="",0,IF(OR(A99="",A99="DNS"),0,IF(A99="DNF",1,IF(ISNUMBER(A99),IF($I$2="J",IF(A99&lt;=11,VLOOKUP(A99,Punten!$A$2:$C$31,3,FALSE()),1),IF(A99&lt;=30,VLOOKUP(A99,Punten!$A$2:$C$31,2,FALSE()),1)),0))))</f>
        <v>0</v>
      </c>
    </row>
    <row r="100" spans="1:9" x14ac:dyDescent="0.25">
      <c r="A100" s="12"/>
      <c r="B100" s="15"/>
      <c r="C100" s="17"/>
      <c r="D100" s="13"/>
      <c r="E100" s="13"/>
      <c r="F100" s="13"/>
      <c r="G100" s="15"/>
      <c r="H100" s="15"/>
      <c r="I100" s="16">
        <f>IF(C100="",0,IF(OR(A100="",A100="DNS"),0,IF(A100="DNF",1,IF(ISNUMBER(A100),IF($I$2="J",IF(A100&lt;=11,VLOOKUP(A100,Punten!$A$2:$C$31,3,FALSE()),1),IF(A100&lt;=30,VLOOKUP(A100,Punten!$A$2:$C$31,2,FALSE()),1)),0))))</f>
        <v>0</v>
      </c>
    </row>
    <row r="101" spans="1:9" x14ac:dyDescent="0.25">
      <c r="A101" s="12"/>
      <c r="B101" s="15"/>
      <c r="C101" s="17"/>
      <c r="D101" s="13"/>
      <c r="E101" s="13"/>
      <c r="F101" s="13"/>
      <c r="G101" s="15"/>
      <c r="H101" s="15"/>
      <c r="I101" s="16">
        <f>IF(C101="",0,IF(OR(A101="",A101="DNS"),0,IF(A101="DNF",1,IF(ISNUMBER(A101),IF($I$2="J",IF(A101&lt;=11,VLOOKUP(A101,Punten!$A$2:$C$31,3,FALSE()),1),IF(A101&lt;=30,VLOOKUP(A101,Punten!$A$2:$C$31,2,FALSE()),1)),0))))</f>
        <v>0</v>
      </c>
    </row>
    <row r="102" spans="1:9" x14ac:dyDescent="0.25">
      <c r="A102" s="12"/>
      <c r="B102" s="15"/>
      <c r="C102" s="17"/>
      <c r="D102" s="13"/>
      <c r="E102" s="13"/>
      <c r="F102" s="13"/>
      <c r="G102" s="15"/>
      <c r="H102" s="15"/>
      <c r="I102" s="16">
        <f>IF(C102="",0,IF(OR(A102="",A102="DNS"),0,IF(A102="DNF",1,IF(ISNUMBER(A102),IF($I$2="J",IF(A102&lt;=11,VLOOKUP(A102,Punten!$A$2:$C$31,3,FALSE()),1),IF(A102&lt;=30,VLOOKUP(A102,Punten!$A$2:$C$31,2,FALSE()),1)),0))))</f>
        <v>0</v>
      </c>
    </row>
    <row r="103" spans="1:9" x14ac:dyDescent="0.25">
      <c r="A103" s="12"/>
      <c r="B103" s="15"/>
      <c r="C103" s="17"/>
      <c r="D103" s="13"/>
      <c r="E103" s="13"/>
      <c r="F103" s="13"/>
      <c r="G103" s="15"/>
      <c r="H103" s="15"/>
      <c r="I103" s="16">
        <f>IF(C103="",0,IF(OR(A103="",A103="DNS"),0,IF(A103="DNF",1,IF(ISNUMBER(A103),IF($I$2="J",IF(A103&lt;=11,VLOOKUP(A103,Punten!$A$2:$C$31,3,FALSE()),1),IF(A103&lt;=30,VLOOKUP(A103,Punten!$A$2:$C$31,2,FALSE()),1)),0))))</f>
        <v>0</v>
      </c>
    </row>
    <row r="105" spans="1:9" ht="16.5" customHeight="1" x14ac:dyDescent="0.25">
      <c r="A105" s="36" t="s">
        <v>67</v>
      </c>
      <c r="B105" s="37"/>
      <c r="C105" s="8"/>
      <c r="D105" s="8"/>
      <c r="E105" s="8"/>
      <c r="F105" s="8"/>
      <c r="G105" s="8"/>
      <c r="H105" s="9" t="s">
        <v>23</v>
      </c>
      <c r="I105" s="10" t="s">
        <v>24</v>
      </c>
    </row>
    <row r="106" spans="1:9" x14ac:dyDescent="0.25">
      <c r="A106" s="11" t="s">
        <v>25</v>
      </c>
      <c r="B106" s="11" t="s">
        <v>26</v>
      </c>
      <c r="C106" s="11" t="s">
        <v>27</v>
      </c>
      <c r="D106" s="11" t="s">
        <v>98</v>
      </c>
      <c r="E106" s="11" t="s">
        <v>28</v>
      </c>
      <c r="F106" s="11" t="s">
        <v>29</v>
      </c>
      <c r="G106" s="11" t="s">
        <v>30</v>
      </c>
      <c r="H106" s="11" t="s">
        <v>31</v>
      </c>
      <c r="I106" s="11" t="s">
        <v>32</v>
      </c>
    </row>
    <row r="107" spans="1:9" x14ac:dyDescent="0.25">
      <c r="A107" s="12">
        <v>1</v>
      </c>
      <c r="B107" s="15">
        <v>15</v>
      </c>
      <c r="C107" s="17" t="s">
        <v>285</v>
      </c>
      <c r="D107" s="13" t="s">
        <v>100</v>
      </c>
      <c r="E107" s="13" t="s">
        <v>34</v>
      </c>
      <c r="F107" s="13" t="s">
        <v>286</v>
      </c>
      <c r="G107" s="15">
        <v>3.7499999999999999E-2</v>
      </c>
      <c r="H107" s="15" t="s">
        <v>102</v>
      </c>
      <c r="I107" s="16">
        <f>IF(C107="",0,IF(OR(A107="",A107="DNS"),0,IF(A107="DNF",1,IF(ISNUMBER(A107),IF($I$105="J",IF(A107&lt;=11,VLOOKUP(A107,Punten!$A$2:$C$31,3,FALSE()),1),IF(A107&lt;=30,VLOOKUP(A107,Punten!$A$2:$C$31,2,FALSE()),1)),0))))</f>
        <v>100.1</v>
      </c>
    </row>
    <row r="108" spans="1:9" x14ac:dyDescent="0.25">
      <c r="A108" s="12">
        <v>2</v>
      </c>
      <c r="B108" s="15">
        <v>2</v>
      </c>
      <c r="C108" s="17" t="s">
        <v>287</v>
      </c>
      <c r="D108" s="13" t="s">
        <v>100</v>
      </c>
      <c r="E108" s="13" t="s">
        <v>228</v>
      </c>
      <c r="F108" s="13" t="s">
        <v>108</v>
      </c>
      <c r="G108" s="15">
        <v>3.7511574074074072E-2</v>
      </c>
      <c r="H108" s="15" t="e" cm="1" vm="2">
        <f t="array" ref="H108">+_FV( 0,"869")</f>
        <v>#VALUE!</v>
      </c>
      <c r="I108" s="16">
        <f>IF(C108="",0,IF(OR(A108="",A108="DNS"),0,IF(A108="DNF",1,IF(ISNUMBER(A108),IF($I$105="J",IF(A108&lt;=11,VLOOKUP(A108,Punten!$A$2:$C$31,3,FALSE()),1),IF(A108&lt;=30,VLOOKUP(A108,Punten!$A$2:$C$31,2,FALSE()),1)),0))))</f>
        <v>90</v>
      </c>
    </row>
    <row r="109" spans="1:9" x14ac:dyDescent="0.25">
      <c r="A109" s="12">
        <v>3</v>
      </c>
      <c r="B109" s="15">
        <v>18</v>
      </c>
      <c r="C109" s="17" t="s">
        <v>72</v>
      </c>
      <c r="D109" s="13" t="s">
        <v>100</v>
      </c>
      <c r="E109" s="13" t="s">
        <v>34</v>
      </c>
      <c r="F109" s="13" t="s">
        <v>108</v>
      </c>
      <c r="G109" s="15">
        <v>3.7523148148148146E-2</v>
      </c>
      <c r="H109" s="15">
        <v>1403</v>
      </c>
      <c r="I109" s="16">
        <f>IF(C109="",0,IF(OR(A109="",A109="DNS"),0,IF(A109="DNF",1,IF(ISNUMBER(A109),IF($I$105="J",IF(A109&lt;=11,VLOOKUP(A109,Punten!$A$2:$C$31,3,FALSE()),1),IF(A109&lt;=30,VLOOKUP(A109,Punten!$A$2:$C$31,2,FALSE()),1)),0))))</f>
        <v>85</v>
      </c>
    </row>
    <row r="110" spans="1:9" x14ac:dyDescent="0.25">
      <c r="A110" s="12">
        <v>4</v>
      </c>
      <c r="B110" s="15">
        <v>13</v>
      </c>
      <c r="C110" s="17" t="s">
        <v>288</v>
      </c>
      <c r="D110" s="13" t="s">
        <v>100</v>
      </c>
      <c r="E110" s="13" t="s">
        <v>34</v>
      </c>
      <c r="F110" s="13" t="s">
        <v>121</v>
      </c>
      <c r="G110" s="15">
        <v>3.8032407407407411E-2</v>
      </c>
      <c r="H110" s="15">
        <v>45452</v>
      </c>
      <c r="I110" s="16">
        <f>IF(C110="",0,IF(OR(A110="",A110="DNS"),0,IF(A110="DNF",1,IF(ISNUMBER(A110),IF($I$105="J",IF(A110&lt;=11,VLOOKUP(A110,Punten!$A$2:$C$31,3,FALSE()),1),IF(A110&lt;=30,VLOOKUP(A110,Punten!$A$2:$C$31,2,FALSE()),1)),0))))</f>
        <v>80</v>
      </c>
    </row>
    <row r="111" spans="1:9" x14ac:dyDescent="0.25">
      <c r="A111" s="12">
        <v>5</v>
      </c>
      <c r="B111" s="15">
        <v>1</v>
      </c>
      <c r="C111" s="17" t="s">
        <v>68</v>
      </c>
      <c r="D111" s="13" t="s">
        <v>100</v>
      </c>
      <c r="E111" s="13"/>
      <c r="F111" s="13"/>
      <c r="G111" s="15">
        <v>3.8032407407407411E-2</v>
      </c>
      <c r="H111" s="15">
        <v>45718</v>
      </c>
      <c r="I111" s="16">
        <f>IF(C111="",0,IF(OR(A111="",A111="DNS"),0,IF(A111="DNF",1,IF(ISNUMBER(A111),IF($I$105="J",IF(A111&lt;=11,VLOOKUP(A111,Punten!$A$2:$C$31,3,FALSE()),1),IF(A111&lt;=30,VLOOKUP(A111,Punten!$A$2:$C$31,2,FALSE()),1)),0))))</f>
        <v>75</v>
      </c>
    </row>
    <row r="112" spans="1:9" x14ac:dyDescent="0.25">
      <c r="A112" s="12">
        <v>6</v>
      </c>
      <c r="B112" s="15">
        <v>24</v>
      </c>
      <c r="C112" s="17" t="s">
        <v>289</v>
      </c>
      <c r="D112" s="13" t="s">
        <v>100</v>
      </c>
      <c r="E112" s="13"/>
      <c r="F112" s="13"/>
      <c r="G112" s="15">
        <v>3.8043981481481484E-2</v>
      </c>
      <c r="H112" s="15">
        <v>46459</v>
      </c>
      <c r="I112" s="16">
        <f>IF(C112="",0,IF(OR(A112="",A112="DNS"),0,IF(A112="DNF",1,IF(ISNUMBER(A112),IF($I$105="J",IF(A112&lt;=11,VLOOKUP(A112,Punten!$A$2:$C$31,3,FALSE()),1),IF(A112&lt;=30,VLOOKUP(A112,Punten!$A$2:$C$31,2,FALSE()),1)),0))))</f>
        <v>70</v>
      </c>
    </row>
    <row r="113" spans="1:9" x14ac:dyDescent="0.25">
      <c r="A113" s="12">
        <v>7</v>
      </c>
      <c r="B113" s="15">
        <v>25</v>
      </c>
      <c r="C113" s="17" t="s">
        <v>290</v>
      </c>
      <c r="D113" s="13" t="s">
        <v>100</v>
      </c>
      <c r="E113" s="13" t="s">
        <v>34</v>
      </c>
      <c r="F113" s="13" t="s">
        <v>291</v>
      </c>
      <c r="G113" s="15">
        <v>3.8043981481481484E-2</v>
      </c>
      <c r="H113" s="15">
        <v>47231</v>
      </c>
      <c r="I113" s="16">
        <f>IF(C113="",0,IF(OR(A113="",A113="DNS"),0,IF(A113="DNF",1,IF(ISNUMBER(A113),IF($I$105="J",IF(A113&lt;=11,VLOOKUP(A113,Punten!$A$2:$C$31,3,FALSE()),1),IF(A113&lt;=30,VLOOKUP(A113,Punten!$A$2:$C$31,2,FALSE()),1)),0))))</f>
        <v>66</v>
      </c>
    </row>
    <row r="114" spans="1:9" x14ac:dyDescent="0.25">
      <c r="A114" s="12">
        <v>8</v>
      </c>
      <c r="B114" s="15">
        <v>23</v>
      </c>
      <c r="C114" s="17" t="s">
        <v>292</v>
      </c>
      <c r="D114" s="13" t="s">
        <v>100</v>
      </c>
      <c r="E114" s="13"/>
      <c r="F114" s="13"/>
      <c r="G114" s="15">
        <v>3.8043981481481484E-2</v>
      </c>
      <c r="H114" s="15">
        <v>47328</v>
      </c>
      <c r="I114" s="16">
        <f>IF(C114="",0,IF(OR(A114="",A114="DNS"),0,IF(A114="DNF",1,IF(ISNUMBER(A114),IF($I$105="J",IF(A114&lt;=11,VLOOKUP(A114,Punten!$A$2:$C$31,3,FALSE()),1),IF(A114&lt;=30,VLOOKUP(A114,Punten!$A$2:$C$31,2,FALSE()),1)),0))))</f>
        <v>62</v>
      </c>
    </row>
    <row r="115" spans="1:9" x14ac:dyDescent="0.25">
      <c r="A115" s="12">
        <v>9</v>
      </c>
      <c r="B115" s="15">
        <v>5</v>
      </c>
      <c r="C115" s="17" t="s">
        <v>293</v>
      </c>
      <c r="D115" s="13" t="s">
        <v>100</v>
      </c>
      <c r="E115" s="13" t="s">
        <v>34</v>
      </c>
      <c r="F115" s="13" t="s">
        <v>128</v>
      </c>
      <c r="G115" s="15">
        <v>3.8043981481481484E-2</v>
      </c>
      <c r="H115" s="15">
        <v>47356</v>
      </c>
      <c r="I115" s="16">
        <f>IF(C115="",0,IF(OR(A115="",A115="DNS"),0,IF(A115="DNF",1,IF(ISNUMBER(A115),IF($I$105="J",IF(A115&lt;=11,VLOOKUP(A115,Punten!$A$2:$C$31,3,FALSE()),1),IF(A115&lt;=30,VLOOKUP(A115,Punten!$A$2:$C$31,2,FALSE()),1)),0))))</f>
        <v>58</v>
      </c>
    </row>
    <row r="116" spans="1:9" x14ac:dyDescent="0.25">
      <c r="A116" s="12">
        <v>10</v>
      </c>
      <c r="B116" s="15">
        <v>26</v>
      </c>
      <c r="C116" s="17" t="s">
        <v>294</v>
      </c>
      <c r="D116" s="13" t="s">
        <v>100</v>
      </c>
      <c r="E116" s="13" t="s">
        <v>34</v>
      </c>
      <c r="F116" s="13" t="s">
        <v>108</v>
      </c>
      <c r="G116" s="15">
        <v>3.8055555555555558E-2</v>
      </c>
      <c r="H116" s="15">
        <v>48035</v>
      </c>
      <c r="I116" s="16">
        <f>IF(C116="",0,IF(OR(A116="",A116="DNS"),0,IF(A116="DNF",1,IF(ISNUMBER(A116),IF($I$105="J",IF(A116&lt;=11,VLOOKUP(A116,Punten!$A$2:$C$31,3,FALSE()),1),IF(A116&lt;=30,VLOOKUP(A116,Punten!$A$2:$C$31,2,FALSE()),1)),0))))</f>
        <v>54</v>
      </c>
    </row>
    <row r="117" spans="1:9" x14ac:dyDescent="0.25">
      <c r="A117" s="12">
        <v>11</v>
      </c>
      <c r="B117" s="15">
        <v>14</v>
      </c>
      <c r="C117" s="17" t="s">
        <v>295</v>
      </c>
      <c r="D117" s="13" t="s">
        <v>100</v>
      </c>
      <c r="E117" s="13" t="s">
        <v>34</v>
      </c>
      <c r="F117" s="13" t="s">
        <v>223</v>
      </c>
      <c r="G117" s="15">
        <v>3.8055555555555558E-2</v>
      </c>
      <c r="H117" s="15">
        <v>48293</v>
      </c>
      <c r="I117" s="16">
        <f>IF(C117="",0,IF(OR(A117="",A117="DNS"),0,IF(A117="DNF",1,IF(ISNUMBER(A117),IF($I$105="J",IF(A117&lt;=11,VLOOKUP(A117,Punten!$A$2:$C$31,3,FALSE()),1),IF(A117&lt;=30,VLOOKUP(A117,Punten!$A$2:$C$31,2,FALSE()),1)),0))))</f>
        <v>50</v>
      </c>
    </row>
    <row r="118" spans="1:9" x14ac:dyDescent="0.25">
      <c r="A118" s="12">
        <v>12</v>
      </c>
      <c r="B118" s="15">
        <v>21</v>
      </c>
      <c r="C118" s="17" t="s">
        <v>85</v>
      </c>
      <c r="D118" s="13" t="s">
        <v>100</v>
      </c>
      <c r="E118" s="13"/>
      <c r="F118" s="13"/>
      <c r="G118" s="15">
        <v>3.8067129629629631E-2</v>
      </c>
      <c r="H118" s="15">
        <v>48476</v>
      </c>
      <c r="I118" s="16">
        <f>IF(C118="",0,IF(OR(A118="",A118="DNS"),0,IF(A118="DNF",1,IF(ISNUMBER(A118),IF($I$105="J",IF(A118&lt;=11,VLOOKUP(A118,Punten!$A$2:$C$31,3,FALSE()),1),IF(A118&lt;=30,VLOOKUP(A118,Punten!$A$2:$C$31,2,FALSE()),1)),0))))</f>
        <v>47</v>
      </c>
    </row>
    <row r="119" spans="1:9" x14ac:dyDescent="0.25">
      <c r="A119" s="12">
        <v>13</v>
      </c>
      <c r="B119" s="15">
        <v>9</v>
      </c>
      <c r="C119" s="17" t="s">
        <v>79</v>
      </c>
      <c r="D119" s="13" t="s">
        <v>100</v>
      </c>
      <c r="E119" s="13" t="s">
        <v>34</v>
      </c>
      <c r="F119" s="13" t="s">
        <v>101</v>
      </c>
      <c r="G119" s="15">
        <v>3.8067129629629631E-2</v>
      </c>
      <c r="H119" s="15">
        <v>48604</v>
      </c>
      <c r="I119" s="16">
        <f>IF(C119="",0,IF(OR(A119="",A119="DNS"),0,IF(A119="DNF",1,IF(ISNUMBER(A119),IF($I$105="J",IF(A119&lt;=11,VLOOKUP(A119,Punten!$A$2:$C$31,3,FALSE()),1),IF(A119&lt;=30,VLOOKUP(A119,Punten!$A$2:$C$31,2,FALSE()),1)),0))))</f>
        <v>44</v>
      </c>
    </row>
    <row r="120" spans="1:9" x14ac:dyDescent="0.25">
      <c r="A120" s="12">
        <v>14</v>
      </c>
      <c r="B120" s="15">
        <v>20</v>
      </c>
      <c r="C120" s="17" t="s">
        <v>296</v>
      </c>
      <c r="D120" s="13" t="s">
        <v>100</v>
      </c>
      <c r="E120" s="13" t="s">
        <v>34</v>
      </c>
      <c r="F120" s="13" t="s">
        <v>297</v>
      </c>
      <c r="G120" s="15">
        <v>3.8067129629629631E-2</v>
      </c>
      <c r="H120" s="15">
        <v>49333</v>
      </c>
      <c r="I120" s="16">
        <f>IF(C120="",0,IF(OR(A120="",A120="DNS"),0,IF(A120="DNF",1,IF(ISNUMBER(A120),IF($I$105="J",IF(A120&lt;=11,VLOOKUP(A120,Punten!$A$2:$C$31,3,FALSE()),1),IF(A120&lt;=30,VLOOKUP(A120,Punten!$A$2:$C$31,2,FALSE()),1)),0))))</f>
        <v>41</v>
      </c>
    </row>
    <row r="121" spans="1:9" x14ac:dyDescent="0.25">
      <c r="A121" s="12">
        <v>15</v>
      </c>
      <c r="B121" s="15">
        <v>3</v>
      </c>
      <c r="C121" s="17" t="s">
        <v>298</v>
      </c>
      <c r="D121" s="13" t="s">
        <v>100</v>
      </c>
      <c r="E121" s="13" t="s">
        <v>228</v>
      </c>
      <c r="F121" s="13" t="s">
        <v>140</v>
      </c>
      <c r="G121" s="15">
        <v>3.8078703703703705E-2</v>
      </c>
      <c r="H121" s="15">
        <v>49559</v>
      </c>
      <c r="I121" s="16">
        <f>IF(C121="",0,IF(OR(A121="",A121="DNS"),0,IF(A121="DNF",1,IF(ISNUMBER(A121),IF($I$105="J",IF(A121&lt;=11,VLOOKUP(A121,Punten!$A$2:$C$31,3,FALSE()),1),IF(A121&lt;=30,VLOOKUP(A121,Punten!$A$2:$C$31,2,FALSE()),1)),0))))</f>
        <v>38</v>
      </c>
    </row>
    <row r="122" spans="1:9" x14ac:dyDescent="0.25">
      <c r="A122" s="12">
        <v>16</v>
      </c>
      <c r="B122" s="15">
        <v>4</v>
      </c>
      <c r="C122" s="17" t="s">
        <v>84</v>
      </c>
      <c r="D122" s="13" t="s">
        <v>100</v>
      </c>
      <c r="E122" s="13"/>
      <c r="F122" s="13"/>
      <c r="G122" s="15">
        <v>3.8101851851851852E-2</v>
      </c>
      <c r="H122" s="15">
        <v>52382</v>
      </c>
      <c r="I122" s="16">
        <f>IF(C122="",0,IF(OR(A122="",A122="DNS"),0,IF(A122="DNF",1,IF(ISNUMBER(A122),IF($I$105="J",IF(A122&lt;=11,VLOOKUP(A122,Punten!$A$2:$C$31,3,FALSE()),1),IF(A122&lt;=30,VLOOKUP(A122,Punten!$A$2:$C$31,2,FALSE()),1)),0))))</f>
        <v>35</v>
      </c>
    </row>
    <row r="123" spans="1:9" x14ac:dyDescent="0.25">
      <c r="A123" s="12">
        <v>17</v>
      </c>
      <c r="B123" s="15">
        <v>8</v>
      </c>
      <c r="C123" s="17" t="s">
        <v>299</v>
      </c>
      <c r="D123" s="13" t="s">
        <v>100</v>
      </c>
      <c r="E123" s="13" t="s">
        <v>34</v>
      </c>
      <c r="F123" s="13" t="s">
        <v>116</v>
      </c>
      <c r="G123" s="15">
        <v>3.8113425925925926E-2</v>
      </c>
      <c r="H123" s="15">
        <v>53283</v>
      </c>
      <c r="I123" s="16">
        <f>IF(C123="",0,IF(OR(A123="",A123="DNS"),0,IF(A123="DNF",1,IF(ISNUMBER(A123),IF($I$105="J",IF(A123&lt;=11,VLOOKUP(A123,Punten!$A$2:$C$31,3,FALSE()),1),IF(A123&lt;=30,VLOOKUP(A123,Punten!$A$2:$C$31,2,FALSE()),1)),0))))</f>
        <v>32</v>
      </c>
    </row>
    <row r="124" spans="1:9" x14ac:dyDescent="0.25">
      <c r="A124" s="12">
        <v>18</v>
      </c>
      <c r="B124" s="15">
        <v>10</v>
      </c>
      <c r="C124" s="17" t="s">
        <v>300</v>
      </c>
      <c r="D124" s="13" t="s">
        <v>100</v>
      </c>
      <c r="E124" s="13"/>
      <c r="F124" s="13"/>
      <c r="G124" s="15">
        <v>3.833333333333333E-2</v>
      </c>
      <c r="H124" s="15" t="s">
        <v>217</v>
      </c>
      <c r="I124" s="16">
        <f>IF(C124="",0,IF(OR(A124="",A124="DNS"),0,IF(A124="DNF",1,IF(ISNUMBER(A124),IF($I$105="J",IF(A124&lt;=11,VLOOKUP(A124,Punten!$A$2:$C$31,3,FALSE()),1),IF(A124&lt;=30,VLOOKUP(A124,Punten!$A$2:$C$31,2,FALSE()),1)),0))))</f>
        <v>29</v>
      </c>
    </row>
    <row r="125" spans="1:9" x14ac:dyDescent="0.25">
      <c r="A125" s="12" t="s">
        <v>245</v>
      </c>
      <c r="B125" s="15">
        <v>7</v>
      </c>
      <c r="C125" s="17" t="s">
        <v>301</v>
      </c>
      <c r="D125" s="13" t="s">
        <v>100</v>
      </c>
      <c r="E125" s="13"/>
      <c r="F125" s="13"/>
      <c r="G125" s="15">
        <v>3.7974537037037036E-2</v>
      </c>
      <c r="H125" s="15" t="s">
        <v>229</v>
      </c>
      <c r="I125" s="16">
        <f>IF(C125="",0,IF(OR(A125="",A125="DNS"),0,IF(A125="DNF",1,IF(ISNUMBER(A125),IF($I$105="J",IF(A125&lt;=11,VLOOKUP(A125,Punten!$A$2:$C$31,3,FALSE()),1),IF(A125&lt;=30,VLOOKUP(A125,Punten!$A$2:$C$31,2,FALSE()),1)),0))))</f>
        <v>0</v>
      </c>
    </row>
    <row r="126" spans="1:9" x14ac:dyDescent="0.25">
      <c r="A126" s="12" t="s">
        <v>248</v>
      </c>
      <c r="B126" s="15">
        <v>12</v>
      </c>
      <c r="C126" s="17" t="s">
        <v>302</v>
      </c>
      <c r="D126" s="13" t="s">
        <v>100</v>
      </c>
      <c r="E126" s="13" t="s">
        <v>34</v>
      </c>
      <c r="F126" s="13" t="s">
        <v>108</v>
      </c>
      <c r="G126" s="15">
        <v>3.7824074074074072E-2</v>
      </c>
      <c r="H126" s="15" t="s">
        <v>303</v>
      </c>
      <c r="I126" s="16">
        <f>IF(C126="",0,IF(OR(A126="",A126="DNS"),0,IF(A126="DNF",1,IF(ISNUMBER(A126),IF($I$105="J",IF(A126&lt;=11,VLOOKUP(A126,Punten!$A$2:$C$31,3,FALSE()),1),IF(A126&lt;=30,VLOOKUP(A126,Punten!$A$2:$C$31,2,FALSE()),1)),0))))</f>
        <v>0</v>
      </c>
    </row>
    <row r="127" spans="1:9" x14ac:dyDescent="0.25">
      <c r="A127" s="12" t="s">
        <v>65</v>
      </c>
      <c r="B127" s="15">
        <v>6</v>
      </c>
      <c r="C127" s="17" t="s">
        <v>304</v>
      </c>
      <c r="D127" s="13" t="s">
        <v>100</v>
      </c>
      <c r="E127" s="13" t="s">
        <v>34</v>
      </c>
      <c r="F127" s="13" t="s">
        <v>243</v>
      </c>
      <c r="G127" s="15">
        <v>2.5092592592592593E-2</v>
      </c>
      <c r="H127" s="15" t="s">
        <v>220</v>
      </c>
      <c r="I127" s="16">
        <f>IF(C127="",0,IF(OR(A127="",A127="DNS"),0,IF(A127="DNF",1,IF(ISNUMBER(A127),IF($I$105="J",IF(A127&lt;=11,VLOOKUP(A127,Punten!$A$2:$C$31,3,FALSE()),1),IF(A127&lt;=30,VLOOKUP(A127,Punten!$A$2:$C$31,2,FALSE()),1)),0))))</f>
        <v>1</v>
      </c>
    </row>
    <row r="128" spans="1:9" x14ac:dyDescent="0.25">
      <c r="A128" s="12" t="s">
        <v>65</v>
      </c>
      <c r="B128" s="15">
        <v>22</v>
      </c>
      <c r="C128" s="17" t="s">
        <v>305</v>
      </c>
      <c r="D128" s="13" t="s">
        <v>100</v>
      </c>
      <c r="E128" s="13" t="s">
        <v>228</v>
      </c>
      <c r="F128" s="13" t="s">
        <v>108</v>
      </c>
      <c r="G128" s="15">
        <v>2.5555555555555557E-2</v>
      </c>
      <c r="H128" s="15" t="s">
        <v>220</v>
      </c>
      <c r="I128" s="16">
        <f>IF(C128="",0,IF(OR(A128="",A128="DNS"),0,IF(A128="DNF",1,IF(ISNUMBER(A128),IF($I$105="J",IF(A128&lt;=11,VLOOKUP(A128,Punten!$A$2:$C$31,3,FALSE()),1),IF(A128&lt;=30,VLOOKUP(A128,Punten!$A$2:$C$31,2,FALSE()),1)),0))))</f>
        <v>1</v>
      </c>
    </row>
    <row r="129" spans="1:9" x14ac:dyDescent="0.25">
      <c r="A129" s="12" t="s">
        <v>65</v>
      </c>
      <c r="B129" s="15">
        <v>11</v>
      </c>
      <c r="C129" s="17" t="s">
        <v>88</v>
      </c>
      <c r="D129" s="13" t="s">
        <v>100</v>
      </c>
      <c r="E129" s="13" t="s">
        <v>34</v>
      </c>
      <c r="F129" s="13" t="s">
        <v>108</v>
      </c>
      <c r="G129" s="15">
        <v>2.2349537037037036E-2</v>
      </c>
      <c r="H129" s="15" t="s">
        <v>220</v>
      </c>
      <c r="I129" s="16">
        <f>IF(C129="",0,IF(OR(A129="",A129="DNS"),0,IF(A129="DNF",1,IF(ISNUMBER(A129),IF($I$105="J",IF(A129&lt;=11,VLOOKUP(A129,Punten!$A$2:$C$31,3,FALSE()),1),IF(A129&lt;=30,VLOOKUP(A129,Punten!$A$2:$C$31,2,FALSE()),1)),0))))</f>
        <v>1</v>
      </c>
    </row>
    <row r="130" spans="1:9" x14ac:dyDescent="0.25">
      <c r="A130" s="12" t="s">
        <v>65</v>
      </c>
      <c r="B130" s="15">
        <v>19</v>
      </c>
      <c r="C130" s="17" t="s">
        <v>306</v>
      </c>
      <c r="D130" s="13" t="s">
        <v>100</v>
      </c>
      <c r="E130" s="13" t="s">
        <v>34</v>
      </c>
      <c r="F130" s="13" t="s">
        <v>114</v>
      </c>
      <c r="G130" s="15">
        <v>1.8958333333333334E-2</v>
      </c>
      <c r="H130" s="15" t="s">
        <v>220</v>
      </c>
      <c r="I130" s="16">
        <f>IF(C130="",0,IF(OR(A130="",A130="DNS"),0,IF(A130="DNF",1,IF(ISNUMBER(A130),IF($I$105="J",IF(A130&lt;=11,VLOOKUP(A130,Punten!$A$2:$C$31,3,FALSE()),1),IF(A130&lt;=30,VLOOKUP(A130,Punten!$A$2:$C$31,2,FALSE()),1)),0))))</f>
        <v>1</v>
      </c>
    </row>
    <row r="131" spans="1:9" x14ac:dyDescent="0.25">
      <c r="A131" s="12"/>
      <c r="B131" s="15"/>
      <c r="C131" s="17"/>
      <c r="D131" s="13"/>
      <c r="E131" s="13"/>
      <c r="F131" s="13"/>
      <c r="G131" s="15"/>
      <c r="H131" s="15"/>
      <c r="I131" s="16">
        <f>IF(C131="",0,IF(OR(A131="",A131="DNS"),0,IF(A131="DNF",1,IF(ISNUMBER(A131),IF($I$105="J",IF(A131&lt;=11,VLOOKUP(A131,Punten!$A$2:$C$31,3,FALSE()),1),IF(A131&lt;=30,VLOOKUP(A131,Punten!$A$2:$C$31,2,FALSE()),1)),0))))</f>
        <v>0</v>
      </c>
    </row>
    <row r="132" spans="1:9" x14ac:dyDescent="0.25">
      <c r="A132" s="12"/>
      <c r="B132" s="15"/>
      <c r="C132" s="17"/>
      <c r="D132" s="13"/>
      <c r="E132" s="13"/>
      <c r="F132" s="13"/>
      <c r="G132" s="15"/>
      <c r="H132" s="15"/>
      <c r="I132" s="16">
        <f>IF(C132="",0,IF(OR(A132="",A132="DNS"),0,IF(A132="DNF",1,IF(ISNUMBER(A132),IF($I$105="J",IF(A132&lt;=11,VLOOKUP(A132,Punten!$A$2:$C$31,3,FALSE()),1),IF(A132&lt;=30,VLOOKUP(A132,Punten!$A$2:$C$31,2,FALSE()),1)),0))))</f>
        <v>0</v>
      </c>
    </row>
    <row r="133" spans="1:9" x14ac:dyDescent="0.25">
      <c r="A133" s="12"/>
      <c r="B133" s="15"/>
      <c r="C133" s="17"/>
      <c r="D133" s="13"/>
      <c r="E133" s="13"/>
      <c r="F133" s="13"/>
      <c r="G133" s="15"/>
      <c r="H133" s="15"/>
      <c r="I133" s="16">
        <f>IF(C133="",0,IF(OR(A133="",A133="DNS"),0,IF(A133="DNF",1,IF(ISNUMBER(A133),IF($I$105="J",IF(A133&lt;=11,VLOOKUP(A133,Punten!$A$2:$C$31,3,FALSE()),1),IF(A133&lt;=30,VLOOKUP(A133,Punten!$A$2:$C$31,2,FALSE()),1)),0))))</f>
        <v>0</v>
      </c>
    </row>
    <row r="134" spans="1:9" x14ac:dyDescent="0.25">
      <c r="A134" s="12"/>
      <c r="B134" s="15"/>
      <c r="C134" s="17"/>
      <c r="D134" s="13"/>
      <c r="E134" s="13"/>
      <c r="F134" s="13"/>
      <c r="G134" s="15"/>
      <c r="H134" s="15"/>
      <c r="I134" s="16">
        <f>IF(C134="",0,IF(OR(A134="",A134="DNS"),0,IF(A134="DNF",1,IF(ISNUMBER(A134),IF($I$105="J",IF(A134&lt;=11,VLOOKUP(A134,Punten!$A$2:$C$31,3,FALSE()),1),IF(A134&lt;=30,VLOOKUP(A134,Punten!$A$2:$C$31,2,FALSE()),1)),0))))</f>
        <v>0</v>
      </c>
    </row>
    <row r="135" spans="1:9" x14ac:dyDescent="0.25">
      <c r="A135" s="12"/>
      <c r="B135" s="15"/>
      <c r="C135" s="17"/>
      <c r="D135" s="13"/>
      <c r="E135" s="13"/>
      <c r="F135" s="13"/>
      <c r="G135" s="15"/>
      <c r="H135" s="15"/>
      <c r="I135" s="16">
        <f>IF(C135="",0,IF(OR(A135="",A135="DNS"),0,IF(A135="DNF",1,IF(ISNUMBER(A135),IF($I$105="J",IF(A135&lt;=11,VLOOKUP(A135,Punten!$A$2:$C$31,3,FALSE()),1),IF(A135&lt;=30,VLOOKUP(A135,Punten!$A$2:$C$31,2,FALSE()),1)),0))))</f>
        <v>0</v>
      </c>
    </row>
    <row r="136" spans="1:9" x14ac:dyDescent="0.25">
      <c r="A136" s="12"/>
      <c r="B136" s="15"/>
      <c r="C136" s="17"/>
      <c r="D136" s="13"/>
      <c r="E136" s="13"/>
      <c r="F136" s="13"/>
      <c r="G136" s="15"/>
      <c r="H136" s="15"/>
      <c r="I136" s="16">
        <f>IF(C136="",0,IF(OR(A136="",A136="DNS"),0,IF(A136="DNF",1,IF(ISNUMBER(A136),IF($I$105="J",IF(A136&lt;=11,VLOOKUP(A136,Punten!$A$2:$C$31,3,FALSE()),1),IF(A136&lt;=30,VLOOKUP(A136,Punten!$A$2:$C$31,2,FALSE()),1)),0))))</f>
        <v>0</v>
      </c>
    </row>
    <row r="137" spans="1:9" x14ac:dyDescent="0.25">
      <c r="A137" s="12"/>
      <c r="B137" s="15"/>
      <c r="C137" s="17"/>
      <c r="D137" s="13"/>
      <c r="E137" s="13"/>
      <c r="F137" s="13"/>
      <c r="G137" s="15"/>
      <c r="H137" s="15"/>
      <c r="I137" s="16">
        <f>IF(C137="",0,IF(OR(A137="",A137="DNS"),0,IF(A137="DNF",1,IF(ISNUMBER(A137),IF($I$105="J",IF(A137&lt;=11,VLOOKUP(A137,Punten!$A$2:$C$31,3,FALSE()),1),IF(A137&lt;=30,VLOOKUP(A137,Punten!$A$2:$C$31,2,FALSE()),1)),0))))</f>
        <v>0</v>
      </c>
    </row>
    <row r="138" spans="1:9" x14ac:dyDescent="0.25">
      <c r="A138" s="12"/>
      <c r="B138" s="15"/>
      <c r="C138" s="17"/>
      <c r="D138" s="13"/>
      <c r="E138" s="13"/>
      <c r="F138" s="13"/>
      <c r="G138" s="15"/>
      <c r="H138" s="15"/>
      <c r="I138" s="16">
        <f>IF(C138="",0,IF(OR(A138="",A138="DNS"),0,IF(A138="DNF",1,IF(ISNUMBER(A138),IF($I$105="J",IF(A138&lt;=11,VLOOKUP(A138,Punten!$A$2:$C$31,3,FALSE()),1),IF(A138&lt;=30,VLOOKUP(A138,Punten!$A$2:$C$31,2,FALSE()),1)),0))))</f>
        <v>0</v>
      </c>
    </row>
    <row r="139" spans="1:9" x14ac:dyDescent="0.25">
      <c r="A139" s="12"/>
      <c r="B139" s="15"/>
      <c r="C139" s="17"/>
      <c r="D139" s="13"/>
      <c r="E139" s="13"/>
      <c r="F139" s="13"/>
      <c r="G139" s="15"/>
      <c r="H139" s="15"/>
      <c r="I139" s="16">
        <f>IF(C139="",0,IF(OR(A139="",A139="DNS"),0,IF(A139="DNF",1,IF(ISNUMBER(A139),IF($I$105="J",IF(A139&lt;=11,VLOOKUP(A139,Punten!$A$2:$C$31,3,FALSE()),1),IF(A139&lt;=30,VLOOKUP(A139,Punten!$A$2:$C$31,2,FALSE()),1)),0))))</f>
        <v>0</v>
      </c>
    </row>
    <row r="140" spans="1:9" x14ac:dyDescent="0.25">
      <c r="A140" s="12"/>
      <c r="B140" s="15"/>
      <c r="C140" s="17"/>
      <c r="D140" s="13"/>
      <c r="E140" s="13"/>
      <c r="F140" s="13"/>
      <c r="G140" s="15"/>
      <c r="H140" s="15"/>
      <c r="I140" s="16">
        <f>IF(C140="",0,IF(OR(A140="",A140="DNS"),0,IF(A140="DNF",1,IF(ISNUMBER(A140),IF($I$105="J",IF(A140&lt;=11,VLOOKUP(A140,Punten!$A$2:$C$31,3,FALSE()),1),IF(A140&lt;=30,VLOOKUP(A140,Punten!$A$2:$C$31,2,FALSE()),1)),0))))</f>
        <v>0</v>
      </c>
    </row>
    <row r="141" spans="1:9" x14ac:dyDescent="0.25">
      <c r="A141" s="12"/>
      <c r="B141" s="15"/>
      <c r="C141" s="17"/>
      <c r="D141" s="13"/>
      <c r="E141" s="13"/>
      <c r="F141" s="13"/>
      <c r="G141" s="15"/>
      <c r="H141" s="15"/>
      <c r="I141" s="16">
        <f>IF(C141="",0,IF(OR(A141="",A141="DNS"),0,IF(A141="DNF",1,IF(ISNUMBER(A141),IF($I$105="J",IF(A141&lt;=11,VLOOKUP(A141,Punten!$A$2:$C$31,3,FALSE()),1),IF(A141&lt;=30,VLOOKUP(A141,Punten!$A$2:$C$31,2,FALSE()),1)),0))))</f>
        <v>0</v>
      </c>
    </row>
    <row r="142" spans="1:9" x14ac:dyDescent="0.25">
      <c r="A142" s="12"/>
      <c r="B142" s="15"/>
      <c r="C142" s="17"/>
      <c r="D142" s="13"/>
      <c r="E142" s="13"/>
      <c r="F142" s="13"/>
      <c r="G142" s="15"/>
      <c r="H142" s="15"/>
      <c r="I142" s="16">
        <f>IF(C142="",0,IF(OR(A142="",A142="DNS"),0,IF(A142="DNF",1,IF(ISNUMBER(A142),IF($I$105="J",IF(A142&lt;=11,VLOOKUP(A142,Punten!$A$2:$C$31,3,FALSE()),1),IF(A142&lt;=30,VLOOKUP(A142,Punten!$A$2:$C$31,2,FALSE()),1)),0))))</f>
        <v>0</v>
      </c>
    </row>
    <row r="143" spans="1:9" x14ac:dyDescent="0.25">
      <c r="A143" s="12"/>
      <c r="B143" s="15"/>
      <c r="C143" s="17"/>
      <c r="D143" s="13"/>
      <c r="E143" s="13"/>
      <c r="F143" s="13"/>
      <c r="G143" s="15"/>
      <c r="H143" s="15"/>
      <c r="I143" s="16">
        <f>IF(C143="",0,IF(OR(A143="",A143="DNS"),0,IF(A143="DNF",1,IF(ISNUMBER(A143),IF($I$105="J",IF(A143&lt;=11,VLOOKUP(A143,Punten!$A$2:$C$31,3,FALSE()),1),IF(A143&lt;=30,VLOOKUP(A143,Punten!$A$2:$C$31,2,FALSE()),1)),0))))</f>
        <v>0</v>
      </c>
    </row>
    <row r="144" spans="1:9" x14ac:dyDescent="0.25">
      <c r="A144" s="12"/>
      <c r="B144" s="15"/>
      <c r="C144" s="17"/>
      <c r="D144" s="13"/>
      <c r="E144" s="13"/>
      <c r="F144" s="13"/>
      <c r="G144" s="15"/>
      <c r="H144" s="15"/>
      <c r="I144" s="16">
        <f>IF(C144="",0,IF(OR(A144="",A144="DNS"),0,IF(A144="DNF",1,IF(ISNUMBER(A144),IF($I$105="J",IF(A144&lt;=11,VLOOKUP(A144,Punten!$A$2:$C$31,3,FALSE()),1),IF(A144&lt;=30,VLOOKUP(A144,Punten!$A$2:$C$31,2,FALSE()),1)),0))))</f>
        <v>0</v>
      </c>
    </row>
    <row r="145" spans="1:9" x14ac:dyDescent="0.25">
      <c r="A145" s="12"/>
      <c r="B145" s="15"/>
      <c r="C145" s="17"/>
      <c r="D145" s="13"/>
      <c r="E145" s="13"/>
      <c r="F145" s="13"/>
      <c r="G145" s="15"/>
      <c r="H145" s="15"/>
      <c r="I145" s="16">
        <f>IF(C145="",0,IF(OR(A145="",A145="DNS"),0,IF(A145="DNF",1,IF(ISNUMBER(A145),IF($I$105="J",IF(A145&lt;=11,VLOOKUP(A145,Punten!$A$2:$C$31,3,FALSE()),1),IF(A145&lt;=30,VLOOKUP(A145,Punten!$A$2:$C$31,2,FALSE()),1)),0))))</f>
        <v>0</v>
      </c>
    </row>
    <row r="146" spans="1:9" x14ac:dyDescent="0.25">
      <c r="A146" s="12"/>
      <c r="B146" s="15"/>
      <c r="C146" s="17"/>
      <c r="D146" s="13"/>
      <c r="E146" s="13"/>
      <c r="F146" s="13"/>
      <c r="G146" s="15"/>
      <c r="H146" s="15"/>
      <c r="I146" s="16">
        <f>IF(C146="",0,IF(OR(A146="",A146="DNS"),0,IF(A146="DNF",1,IF(ISNUMBER(A146),IF($I$105="J",IF(A146&lt;=11,VLOOKUP(A146,Punten!$A$2:$C$31,3,FALSE()),1),IF(A146&lt;=30,VLOOKUP(A146,Punten!$A$2:$C$31,2,FALSE()),1)),0))))</f>
        <v>0</v>
      </c>
    </row>
    <row r="147" spans="1:9" x14ac:dyDescent="0.25">
      <c r="A147" s="12"/>
      <c r="B147" s="15"/>
      <c r="C147" s="17"/>
      <c r="D147" s="13"/>
      <c r="E147" s="13"/>
      <c r="F147" s="13"/>
      <c r="G147" s="15"/>
      <c r="H147" s="15"/>
      <c r="I147" s="16">
        <f>IF(C147="",0,IF(OR(A147="",A147="DNS"),0,IF(A147="DNF",1,IF(ISNUMBER(A147),IF($I$105="J",IF(A147&lt;=11,VLOOKUP(A147,Punten!$A$2:$C$31,3,FALSE()),1),IF(A147&lt;=30,VLOOKUP(A147,Punten!$A$2:$C$31,2,FALSE()),1)),0))))</f>
        <v>0</v>
      </c>
    </row>
    <row r="148" spans="1:9" x14ac:dyDescent="0.25">
      <c r="A148" s="12"/>
      <c r="B148" s="15"/>
      <c r="C148" s="17"/>
      <c r="D148" s="13"/>
      <c r="E148" s="13"/>
      <c r="F148" s="13"/>
      <c r="G148" s="15"/>
      <c r="H148" s="15"/>
      <c r="I148" s="16">
        <f>IF(C148="",0,IF(OR(A148="",A148="DNS"),0,IF(A148="DNF",1,IF(ISNUMBER(A148),IF($I$105="J",IF(A148&lt;=11,VLOOKUP(A148,Punten!$A$2:$C$31,3,FALSE()),1),IF(A148&lt;=30,VLOOKUP(A148,Punten!$A$2:$C$31,2,FALSE()),1)),0))))</f>
        <v>0</v>
      </c>
    </row>
    <row r="149" spans="1:9" x14ac:dyDescent="0.25">
      <c r="A149" s="12"/>
      <c r="B149" s="15"/>
      <c r="C149" s="17"/>
      <c r="D149" s="13"/>
      <c r="E149" s="13"/>
      <c r="F149" s="13"/>
      <c r="G149" s="15"/>
      <c r="H149" s="15"/>
      <c r="I149" s="16">
        <f>IF(C149="",0,IF(OR(A149="",A149="DNS"),0,IF(A149="DNF",1,IF(ISNUMBER(A149),IF($I$105="J",IF(A149&lt;=11,VLOOKUP(A149,Punten!$A$2:$C$31,3,FALSE()),1),IF(A149&lt;=30,VLOOKUP(A149,Punten!$A$2:$C$31,2,FALSE()),1)),0))))</f>
        <v>0</v>
      </c>
    </row>
    <row r="150" spans="1:9" x14ac:dyDescent="0.25">
      <c r="A150" s="12"/>
      <c r="B150" s="15"/>
      <c r="C150" s="17"/>
      <c r="D150" s="13"/>
      <c r="E150" s="13"/>
      <c r="F150" s="13"/>
      <c r="G150" s="15"/>
      <c r="H150" s="15"/>
      <c r="I150" s="16">
        <f>IF(C150="",0,IF(OR(A150="",A150="DNS"),0,IF(A150="DNF",1,IF(ISNUMBER(A150),IF($I$105="J",IF(A150&lt;=11,VLOOKUP(A150,Punten!$A$2:$C$31,3,FALSE()),1),IF(A150&lt;=30,VLOOKUP(A150,Punten!$A$2:$C$31,2,FALSE()),1)),0))))</f>
        <v>0</v>
      </c>
    </row>
    <row r="151" spans="1:9" x14ac:dyDescent="0.25">
      <c r="A151" s="12"/>
      <c r="B151" s="15"/>
      <c r="C151" s="17"/>
      <c r="D151" s="13"/>
      <c r="E151" s="13"/>
      <c r="F151" s="13"/>
      <c r="G151" s="15"/>
      <c r="H151" s="15"/>
      <c r="I151" s="16">
        <f>IF(C151="",0,IF(OR(A151="",A151="DNS"),0,IF(A151="DNF",1,IF(ISNUMBER(A151),IF($I$105="J",IF(A151&lt;=11,VLOOKUP(A151,Punten!$A$2:$C$31,3,FALSE()),1),IF(A151&lt;=30,VLOOKUP(A151,Punten!$A$2:$C$31,2,FALSE()),1)),0))))</f>
        <v>0</v>
      </c>
    </row>
    <row r="152" spans="1:9" x14ac:dyDescent="0.25">
      <c r="A152" s="12"/>
      <c r="B152" s="15"/>
      <c r="C152" s="17"/>
      <c r="D152" s="13"/>
      <c r="E152" s="13"/>
      <c r="F152" s="13"/>
      <c r="G152" s="15"/>
      <c r="H152" s="15"/>
      <c r="I152" s="16">
        <f>IF(C152="",0,IF(OR(A152="",A152="DNS"),0,IF(A152="DNF",1,IF(ISNUMBER(A152),IF($I$105="J",IF(A152&lt;=11,VLOOKUP(A152,Punten!$A$2:$C$31,3,FALSE()),1),IF(A152&lt;=30,VLOOKUP(A152,Punten!$A$2:$C$31,2,FALSE()),1)),0))))</f>
        <v>0</v>
      </c>
    </row>
    <row r="153" spans="1:9" x14ac:dyDescent="0.25">
      <c r="A153" s="12"/>
      <c r="B153" s="15"/>
      <c r="C153" s="17"/>
      <c r="D153" s="13"/>
      <c r="E153" s="13"/>
      <c r="F153" s="13"/>
      <c r="G153" s="15"/>
      <c r="H153" s="15"/>
      <c r="I153" s="16">
        <f>IF(C153="",0,IF(OR(A153="",A153="DNS"),0,IF(A153="DNF",1,IF(ISNUMBER(A153),IF($I$105="J",IF(A153&lt;=11,VLOOKUP(A153,Punten!$A$2:$C$31,3,FALSE()),1),IF(A153&lt;=30,VLOOKUP(A153,Punten!$A$2:$C$31,2,FALSE()),1)),0))))</f>
        <v>0</v>
      </c>
    </row>
    <row r="154" spans="1:9" x14ac:dyDescent="0.25">
      <c r="A154" s="12"/>
      <c r="B154" s="15"/>
      <c r="C154" s="17"/>
      <c r="D154" s="13"/>
      <c r="E154" s="13"/>
      <c r="F154" s="13"/>
      <c r="G154" s="15"/>
      <c r="H154" s="15"/>
      <c r="I154" s="16">
        <f>IF(C154="",0,IF(OR(A154="",A154="DNS"),0,IF(A154="DNF",1,IF(ISNUMBER(A154),IF($I$105="J",IF(A154&lt;=11,VLOOKUP(A154,Punten!$A$2:$C$31,3,FALSE()),1),IF(A154&lt;=30,VLOOKUP(A154,Punten!$A$2:$C$31,2,FALSE()),1)),0))))</f>
        <v>0</v>
      </c>
    </row>
    <row r="155" spans="1:9" x14ac:dyDescent="0.25">
      <c r="A155" s="12"/>
      <c r="B155" s="15"/>
      <c r="C155" s="17"/>
      <c r="D155" s="13"/>
      <c r="E155" s="13"/>
      <c r="F155" s="13"/>
      <c r="G155" s="15"/>
      <c r="H155" s="15"/>
      <c r="I155" s="16">
        <f>IF(C155="",0,IF(OR(A155="",A155="DNS"),0,IF(A155="DNF",1,IF(ISNUMBER(A155),IF($I$105="J",IF(A155&lt;=11,VLOOKUP(A155,Punten!$A$2:$C$31,3,FALSE()),1),IF(A155&lt;=30,VLOOKUP(A155,Punten!$A$2:$C$31,2,FALSE()),1)),0))))</f>
        <v>0</v>
      </c>
    </row>
    <row r="156" spans="1:9" x14ac:dyDescent="0.25">
      <c r="A156" s="12"/>
      <c r="B156" s="15"/>
      <c r="C156" s="17"/>
      <c r="D156" s="13"/>
      <c r="E156" s="13"/>
      <c r="F156" s="13"/>
      <c r="G156" s="15"/>
      <c r="H156" s="15"/>
      <c r="I156" s="16">
        <f>IF(C156="",0,IF(OR(A156="",A156="DNS"),0,IF(A156="DNF",1,IF(ISNUMBER(A156),IF($I$105="J",IF(A156&lt;=11,VLOOKUP(A156,Punten!$A$2:$C$31,3,FALSE()),1),IF(A156&lt;=30,VLOOKUP(A156,Punten!$A$2:$C$31,2,FALSE()),1)),0))))</f>
        <v>0</v>
      </c>
    </row>
    <row r="157" spans="1:9" x14ac:dyDescent="0.25">
      <c r="A157" s="12"/>
      <c r="B157" s="15"/>
      <c r="C157" s="17"/>
      <c r="D157" s="13"/>
      <c r="E157" s="13"/>
      <c r="F157" s="13"/>
      <c r="G157" s="15"/>
      <c r="H157" s="15"/>
      <c r="I157" s="16">
        <f>IF(C157="",0,IF(OR(A157="",A157="DNS"),0,IF(A157="DNF",1,IF(ISNUMBER(A157),IF($I$105="J",IF(A157&lt;=11,VLOOKUP(A157,Punten!$A$2:$C$31,3,FALSE()),1),IF(A157&lt;=30,VLOOKUP(A157,Punten!$A$2:$C$31,2,FALSE()),1)),0))))</f>
        <v>0</v>
      </c>
    </row>
    <row r="158" spans="1:9" x14ac:dyDescent="0.25">
      <c r="A158" s="12"/>
      <c r="B158" s="15"/>
      <c r="C158" s="17"/>
      <c r="D158" s="13"/>
      <c r="E158" s="13"/>
      <c r="F158" s="13"/>
      <c r="G158" s="15"/>
      <c r="H158" s="15"/>
      <c r="I158" s="16">
        <f>IF(C158="",0,IF(OR(A158="",A158="DNS"),0,IF(A158="DNF",1,IF(ISNUMBER(A158),IF($I$105="J",IF(A158&lt;=11,VLOOKUP(A158,Punten!$A$2:$C$31,3,FALSE()),1),IF(A158&lt;=30,VLOOKUP(A158,Punten!$A$2:$C$31,2,FALSE()),1)),0))))</f>
        <v>0</v>
      </c>
    </row>
    <row r="159" spans="1:9" x14ac:dyDescent="0.25">
      <c r="A159" s="12"/>
      <c r="B159" s="15"/>
      <c r="C159" s="17"/>
      <c r="D159" s="13"/>
      <c r="E159" s="13"/>
      <c r="F159" s="13"/>
      <c r="G159" s="15"/>
      <c r="H159" s="15"/>
      <c r="I159" s="16">
        <f>IF(C159="",0,IF(OR(A159="",A159="DNS"),0,IF(A159="DNF",1,IF(ISNUMBER(A159),IF($I$105="J",IF(A159&lt;=11,VLOOKUP(A159,Punten!$A$2:$C$31,3,FALSE()),1),IF(A159&lt;=30,VLOOKUP(A159,Punten!$A$2:$C$31,2,FALSE()),1)),0))))</f>
        <v>0</v>
      </c>
    </row>
    <row r="160" spans="1:9" x14ac:dyDescent="0.25">
      <c r="A160" s="12"/>
      <c r="B160" s="15"/>
      <c r="C160" s="17"/>
      <c r="D160" s="13"/>
      <c r="E160" s="13"/>
      <c r="F160" s="13"/>
      <c r="G160" s="15"/>
      <c r="H160" s="15"/>
      <c r="I160" s="16">
        <f>IF(C160="",0,IF(OR(A160="",A160="DNS"),0,IF(A160="DNF",1,IF(ISNUMBER(A160),IF($I$105="J",IF(A160&lt;=11,VLOOKUP(A160,Punten!$A$2:$C$31,3,FALSE()),1),IF(A160&lt;=30,VLOOKUP(A160,Punten!$A$2:$C$31,2,FALSE()),1)),0))))</f>
        <v>0</v>
      </c>
    </row>
    <row r="161" spans="1:9" x14ac:dyDescent="0.25">
      <c r="A161" s="12"/>
      <c r="B161" s="15"/>
      <c r="C161" s="17"/>
      <c r="D161" s="13"/>
      <c r="E161" s="13"/>
      <c r="F161" s="13"/>
      <c r="G161" s="15"/>
      <c r="H161" s="15"/>
      <c r="I161" s="16">
        <f>IF(C161="",0,IF(OR(A161="",A161="DNS"),0,IF(A161="DNF",1,IF(ISNUMBER(A161),IF($I$105="J",IF(A161&lt;=11,VLOOKUP(A161,Punten!$A$2:$C$31,3,FALSE()),1),IF(A161&lt;=30,VLOOKUP(A161,Punten!$A$2:$C$31,2,FALSE()),1)),0))))</f>
        <v>0</v>
      </c>
    </row>
    <row r="162" spans="1:9" x14ac:dyDescent="0.25">
      <c r="A162" s="12"/>
      <c r="B162" s="15"/>
      <c r="C162" s="17"/>
      <c r="D162" s="13"/>
      <c r="E162" s="13"/>
      <c r="F162" s="13"/>
      <c r="G162" s="15"/>
      <c r="H162" s="15"/>
      <c r="I162" s="16">
        <f>IF(C162="",0,IF(OR(A162="",A162="DNS"),0,IF(A162="DNF",1,IF(ISNUMBER(A162),IF($I$105="J",IF(A162&lt;=11,VLOOKUP(A162,Punten!$A$2:$C$31,3,FALSE()),1),IF(A162&lt;=30,VLOOKUP(A162,Punten!$A$2:$C$31,2,FALSE()),1)),0))))</f>
        <v>0</v>
      </c>
    </row>
    <row r="163" spans="1:9" x14ac:dyDescent="0.25">
      <c r="A163" s="12"/>
      <c r="B163" s="15"/>
      <c r="C163" s="17"/>
      <c r="D163" s="13"/>
      <c r="E163" s="13"/>
      <c r="F163" s="13"/>
      <c r="G163" s="15"/>
      <c r="H163" s="15"/>
      <c r="I163" s="16">
        <f>IF(C163="",0,IF(OR(A163="",A163="DNS"),0,IF(A163="DNF",1,IF(ISNUMBER(A163),IF($I$105="J",IF(A163&lt;=11,VLOOKUP(A163,Punten!$A$2:$C$31,3,FALSE()),1),IF(A163&lt;=30,VLOOKUP(A163,Punten!$A$2:$C$31,2,FALSE()),1)),0))))</f>
        <v>0</v>
      </c>
    </row>
    <row r="164" spans="1:9" x14ac:dyDescent="0.25">
      <c r="A164" s="12"/>
      <c r="B164" s="15"/>
      <c r="C164" s="17"/>
      <c r="D164" s="13"/>
      <c r="E164" s="13"/>
      <c r="F164" s="13"/>
      <c r="G164" s="15"/>
      <c r="H164" s="15"/>
      <c r="I164" s="16">
        <f>IF(C164="",0,IF(OR(A164="",A164="DNS"),0,IF(A164="DNF",1,IF(ISNUMBER(A164),IF($I$105="J",IF(A164&lt;=11,VLOOKUP(A164,Punten!$A$2:$C$31,3,FALSE()),1),IF(A164&lt;=30,VLOOKUP(A164,Punten!$A$2:$C$31,2,FALSE()),1)),0))))</f>
        <v>0</v>
      </c>
    </row>
    <row r="165" spans="1:9" x14ac:dyDescent="0.25">
      <c r="A165" s="12"/>
      <c r="B165" s="15"/>
      <c r="C165" s="17"/>
      <c r="D165" s="13"/>
      <c r="E165" s="13"/>
      <c r="F165" s="13"/>
      <c r="G165" s="15"/>
      <c r="H165" s="15"/>
      <c r="I165" s="16">
        <f>IF(C165="",0,IF(OR(A165="",A165="DNS"),0,IF(A165="DNF",1,IF(ISNUMBER(A165),IF($I$105="J",IF(A165&lt;=11,VLOOKUP(A165,Punten!$A$2:$C$31,3,FALSE()),1),IF(A165&lt;=30,VLOOKUP(A165,Punten!$A$2:$C$31,2,FALSE()),1)),0))))</f>
        <v>0</v>
      </c>
    </row>
    <row r="166" spans="1:9" x14ac:dyDescent="0.25">
      <c r="A166" s="12"/>
      <c r="B166" s="15"/>
      <c r="C166" s="17"/>
      <c r="D166" s="13"/>
      <c r="E166" s="13"/>
      <c r="F166" s="13"/>
      <c r="G166" s="15"/>
      <c r="H166" s="15"/>
      <c r="I166" s="16">
        <f>IF(C166="",0,IF(OR(A166="",A166="DNS"),0,IF(A166="DNF",1,IF(ISNUMBER(A166),IF($I$105="J",IF(A166&lt;=11,VLOOKUP(A166,Punten!$A$2:$C$31,3,FALSE()),1),IF(A166&lt;=30,VLOOKUP(A166,Punten!$A$2:$C$31,2,FALSE()),1)),0))))</f>
        <v>0</v>
      </c>
    </row>
    <row r="167" spans="1:9" x14ac:dyDescent="0.25">
      <c r="A167" s="12"/>
      <c r="B167" s="15"/>
      <c r="C167" s="17"/>
      <c r="D167" s="13"/>
      <c r="E167" s="13"/>
      <c r="F167" s="13"/>
      <c r="G167" s="15"/>
      <c r="H167" s="15"/>
      <c r="I167" s="16">
        <f>IF(C167="",0,IF(OR(A167="",A167="DNS"),0,IF(A167="DNF",1,IF(ISNUMBER(A167),IF($I$105="J",IF(A167&lt;=11,VLOOKUP(A167,Punten!$A$2:$C$31,3,FALSE()),1),IF(A167&lt;=30,VLOOKUP(A167,Punten!$A$2:$C$31,2,FALSE()),1)),0))))</f>
        <v>0</v>
      </c>
    </row>
    <row r="168" spans="1:9" x14ac:dyDescent="0.25">
      <c r="A168" s="12"/>
      <c r="B168" s="15"/>
      <c r="C168" s="17"/>
      <c r="D168" s="13"/>
      <c r="E168" s="13"/>
      <c r="F168" s="13"/>
      <c r="G168" s="15"/>
      <c r="H168" s="15"/>
      <c r="I168" s="16">
        <f>IF(C168="",0,IF(OR(A168="",A168="DNS"),0,IF(A168="DNF",1,IF(ISNUMBER(A168),IF($I$105="J",IF(A168&lt;=11,VLOOKUP(A168,Punten!$A$2:$C$31,3,FALSE()),1),IF(A168&lt;=30,VLOOKUP(A168,Punten!$A$2:$C$31,2,FALSE()),1)),0))))</f>
        <v>0</v>
      </c>
    </row>
    <row r="169" spans="1:9" x14ac:dyDescent="0.25">
      <c r="A169" s="12"/>
      <c r="B169" s="15"/>
      <c r="C169" s="17"/>
      <c r="D169" s="13"/>
      <c r="E169" s="13"/>
      <c r="F169" s="13"/>
      <c r="G169" s="15"/>
      <c r="H169" s="15"/>
      <c r="I169" s="16">
        <f>IF(C169="",0,IF(OR(A169="",A169="DNS"),0,IF(A169="DNF",1,IF(ISNUMBER(A169),IF($I$105="J",IF(A169&lt;=11,VLOOKUP(A169,Punten!$A$2:$C$31,3,FALSE()),1),IF(A169&lt;=30,VLOOKUP(A169,Punten!$A$2:$C$31,2,FALSE()),1)),0))))</f>
        <v>0</v>
      </c>
    </row>
    <row r="170" spans="1:9" x14ac:dyDescent="0.25">
      <c r="A170" s="12"/>
      <c r="B170" s="15"/>
      <c r="C170" s="17"/>
      <c r="D170" s="13"/>
      <c r="E170" s="13"/>
      <c r="F170" s="13"/>
      <c r="G170" s="15"/>
      <c r="H170" s="15"/>
      <c r="I170" s="16">
        <f>IF(C170="",0,IF(OR(A170="",A170="DNS"),0,IF(A170="DNF",1,IF(ISNUMBER(A170),IF($I$105="J",IF(A170&lt;=11,VLOOKUP(A170,Punten!$A$2:$C$31,3,FALSE()),1),IF(A170&lt;=30,VLOOKUP(A170,Punten!$A$2:$C$31,2,FALSE()),1)),0))))</f>
        <v>0</v>
      </c>
    </row>
    <row r="171" spans="1:9" x14ac:dyDescent="0.25">
      <c r="A171" s="12"/>
      <c r="B171" s="15"/>
      <c r="C171" s="17"/>
      <c r="D171" s="13"/>
      <c r="E171" s="13"/>
      <c r="F171" s="13"/>
      <c r="G171" s="15"/>
      <c r="H171" s="15"/>
      <c r="I171" s="16">
        <f>IF(C171="",0,IF(OR(A171="",A171="DNS"),0,IF(A171="DNF",1,IF(ISNUMBER(A171),IF($I$105="J",IF(A171&lt;=11,VLOOKUP(A171,Punten!$A$2:$C$31,3,FALSE()),1),IF(A171&lt;=30,VLOOKUP(A171,Punten!$A$2:$C$31,2,FALSE()),1)),0))))</f>
        <v>0</v>
      </c>
    </row>
    <row r="172" spans="1:9" x14ac:dyDescent="0.25">
      <c r="A172" s="12"/>
      <c r="B172" s="15"/>
      <c r="C172" s="17"/>
      <c r="D172" s="13"/>
      <c r="E172" s="13"/>
      <c r="F172" s="13"/>
      <c r="G172" s="15"/>
      <c r="H172" s="15"/>
      <c r="I172" s="16">
        <f>IF(C172="",0,IF(OR(A172="",A172="DNS"),0,IF(A172="DNF",1,IF(ISNUMBER(A172),IF($I$105="J",IF(A172&lt;=11,VLOOKUP(A172,Punten!$A$2:$C$31,3,FALSE()),1),IF(A172&lt;=30,VLOOKUP(A172,Punten!$A$2:$C$31,2,FALSE()),1)),0))))</f>
        <v>0</v>
      </c>
    </row>
    <row r="173" spans="1:9" x14ac:dyDescent="0.25">
      <c r="A173" s="12"/>
      <c r="B173" s="15"/>
      <c r="C173" s="17"/>
      <c r="D173" s="13"/>
      <c r="E173" s="13"/>
      <c r="F173" s="13"/>
      <c r="G173" s="15"/>
      <c r="H173" s="15"/>
      <c r="I173" s="16">
        <f>IF(C173="",0,IF(OR(A173="",A173="DNS"),0,IF(A173="DNF",1,IF(ISNUMBER(A173),IF($I$105="J",IF(A173&lt;=11,VLOOKUP(A173,Punten!$A$2:$C$31,3,FALSE()),1),IF(A173&lt;=30,VLOOKUP(A173,Punten!$A$2:$C$31,2,FALSE()),1)),0))))</f>
        <v>0</v>
      </c>
    </row>
    <row r="174" spans="1:9" x14ac:dyDescent="0.25">
      <c r="A174" s="12"/>
      <c r="B174" s="15"/>
      <c r="C174" s="17"/>
      <c r="D174" s="13"/>
      <c r="E174" s="13"/>
      <c r="F174" s="13"/>
      <c r="G174" s="15"/>
      <c r="H174" s="15"/>
      <c r="I174" s="16">
        <f>IF(C174="",0,IF(OR(A174="",A174="DNS"),0,IF(A174="DNF",1,IF(ISNUMBER(A174),IF($I$105="J",IF(A174&lt;=11,VLOOKUP(A174,Punten!$A$2:$C$31,3,FALSE()),1),IF(A174&lt;=30,VLOOKUP(A174,Punten!$A$2:$C$31,2,FALSE()),1)),0))))</f>
        <v>0</v>
      </c>
    </row>
    <row r="175" spans="1:9" x14ac:dyDescent="0.25">
      <c r="A175" s="12"/>
      <c r="B175" s="15"/>
      <c r="C175" s="17"/>
      <c r="D175" s="13"/>
      <c r="E175" s="13"/>
      <c r="F175" s="13"/>
      <c r="G175" s="15"/>
      <c r="H175" s="15"/>
      <c r="I175" s="16">
        <f>IF(C175="",0,IF(OR(A175="",A175="DNS"),0,IF(A175="DNF",1,IF(ISNUMBER(A175),IF($I$105="J",IF(A175&lt;=11,VLOOKUP(A175,Punten!$A$2:$C$31,3,FALSE()),1),IF(A175&lt;=30,VLOOKUP(A175,Punten!$A$2:$C$31,2,FALSE()),1)),0))))</f>
        <v>0</v>
      </c>
    </row>
    <row r="176" spans="1:9" x14ac:dyDescent="0.25">
      <c r="A176" s="12"/>
      <c r="B176" s="15"/>
      <c r="C176" s="17"/>
      <c r="D176" s="13"/>
      <c r="E176" s="13"/>
      <c r="F176" s="13"/>
      <c r="G176" s="15"/>
      <c r="H176" s="15"/>
      <c r="I176" s="16">
        <f>IF(C176="",0,IF(OR(A176="",A176="DNS"),0,IF(A176="DNF",1,IF(ISNUMBER(A176),IF($I$105="J",IF(A176&lt;=11,VLOOKUP(A176,Punten!$A$2:$C$31,3,FALSE()),1),IF(A176&lt;=30,VLOOKUP(A176,Punten!$A$2:$C$31,2,FALSE()),1)),0))))</f>
        <v>0</v>
      </c>
    </row>
    <row r="177" spans="1:9" x14ac:dyDescent="0.25">
      <c r="A177" s="12"/>
      <c r="B177" s="15"/>
      <c r="C177" s="17"/>
      <c r="D177" s="13"/>
      <c r="E177" s="13"/>
      <c r="F177" s="13"/>
      <c r="G177" s="15"/>
      <c r="H177" s="15"/>
      <c r="I177" s="16">
        <f>IF(C177="",0,IF(OR(A177="",A177="DNS"),0,IF(A177="DNF",1,IF(ISNUMBER(A177),IF($I$105="J",IF(A177&lt;=11,VLOOKUP(A177,Punten!$A$2:$C$31,3,FALSE()),1),IF(A177&lt;=30,VLOOKUP(A177,Punten!$A$2:$C$31,2,FALSE()),1)),0))))</f>
        <v>0</v>
      </c>
    </row>
    <row r="178" spans="1:9" x14ac:dyDescent="0.25">
      <c r="A178" s="12"/>
      <c r="B178" s="15"/>
      <c r="C178" s="17"/>
      <c r="D178" s="13"/>
      <c r="E178" s="13"/>
      <c r="F178" s="13"/>
      <c r="G178" s="15"/>
      <c r="H178" s="15"/>
      <c r="I178" s="16">
        <f>IF(C178="",0,IF(OR(A178="",A178="DNS"),0,IF(A178="DNF",1,IF(ISNUMBER(A178),IF($I$105="J",IF(A178&lt;=11,VLOOKUP(A178,Punten!$A$2:$C$31,3,FALSE()),1),IF(A178&lt;=30,VLOOKUP(A178,Punten!$A$2:$C$31,2,FALSE()),1)),0))))</f>
        <v>0</v>
      </c>
    </row>
    <row r="179" spans="1:9" x14ac:dyDescent="0.25">
      <c r="A179" s="12"/>
      <c r="B179" s="15"/>
      <c r="C179" s="17"/>
      <c r="D179" s="13"/>
      <c r="E179" s="13"/>
      <c r="F179" s="13"/>
      <c r="G179" s="15"/>
      <c r="H179" s="15"/>
      <c r="I179" s="16">
        <f>IF(C179="",0,IF(OR(A179="",A179="DNS"),0,IF(A179="DNF",1,IF(ISNUMBER(A179),IF($I$105="J",IF(A179&lt;=11,VLOOKUP(A179,Punten!$A$2:$C$31,3,FALSE()),1),IF(A179&lt;=30,VLOOKUP(A179,Punten!$A$2:$C$31,2,FALSE()),1)),0))))</f>
        <v>0</v>
      </c>
    </row>
    <row r="180" spans="1:9" x14ac:dyDescent="0.25">
      <c r="A180" s="12"/>
      <c r="B180" s="15"/>
      <c r="C180" s="17"/>
      <c r="D180" s="13"/>
      <c r="E180" s="13"/>
      <c r="F180" s="13"/>
      <c r="G180" s="15"/>
      <c r="H180" s="15"/>
      <c r="I180" s="16">
        <f>IF(C180="",0,IF(OR(A180="",A180="DNS"),0,IF(A180="DNF",1,IF(ISNUMBER(A180),IF($I$105="J",IF(A180&lt;=11,VLOOKUP(A180,Punten!$A$2:$C$31,3,FALSE()),1),IF(A180&lt;=30,VLOOKUP(A180,Punten!$A$2:$C$31,2,FALSE()),1)),0))))</f>
        <v>0</v>
      </c>
    </row>
    <row r="181" spans="1:9" x14ac:dyDescent="0.25">
      <c r="A181" s="12"/>
      <c r="B181" s="15"/>
      <c r="C181" s="17"/>
      <c r="D181" s="13"/>
      <c r="E181" s="13"/>
      <c r="F181" s="13"/>
      <c r="G181" s="15"/>
      <c r="H181" s="15"/>
      <c r="I181" s="16">
        <f>IF(C181="",0,IF(OR(A181="",A181="DNS"),0,IF(A181="DNF",1,IF(ISNUMBER(A181),IF($I$105="J",IF(A181&lt;=11,VLOOKUP(A181,Punten!$A$2:$C$31,3,FALSE()),1),IF(A181&lt;=30,VLOOKUP(A181,Punten!$A$2:$C$31,2,FALSE()),1)),0))))</f>
        <v>0</v>
      </c>
    </row>
    <row r="182" spans="1:9" x14ac:dyDescent="0.25">
      <c r="A182" s="12"/>
      <c r="B182" s="15"/>
      <c r="C182" s="17"/>
      <c r="D182" s="13"/>
      <c r="E182" s="13"/>
      <c r="F182" s="13"/>
      <c r="G182" s="15"/>
      <c r="H182" s="15"/>
      <c r="I182" s="16">
        <f>IF(C182="",0,IF(OR(A182="",A182="DNS"),0,IF(A182="DNF",1,IF(ISNUMBER(A182),IF($I$105="J",IF(A182&lt;=11,VLOOKUP(A182,Punten!$A$2:$C$31,3,FALSE()),1),IF(A182&lt;=30,VLOOKUP(A182,Punten!$A$2:$C$31,2,FALSE()),1)),0))))</f>
        <v>0</v>
      </c>
    </row>
    <row r="183" spans="1:9" x14ac:dyDescent="0.25">
      <c r="A183" s="12"/>
      <c r="B183" s="15"/>
      <c r="C183" s="17"/>
      <c r="D183" s="13"/>
      <c r="E183" s="13"/>
      <c r="F183" s="13"/>
      <c r="G183" s="15"/>
      <c r="H183" s="15"/>
      <c r="I183" s="16">
        <f>IF(C183="",0,IF(OR(A183="",A183="DNS"),0,IF(A183="DNF",1,IF(ISNUMBER(A183),IF($I$105="J",IF(A183&lt;=11,VLOOKUP(A183,Punten!$A$2:$C$31,3,FALSE()),1),IF(A183&lt;=30,VLOOKUP(A183,Punten!$A$2:$C$31,2,FALSE()),1)),0))))</f>
        <v>0</v>
      </c>
    </row>
    <row r="184" spans="1:9" x14ac:dyDescent="0.25">
      <c r="A184" s="12"/>
      <c r="B184" s="15"/>
      <c r="C184" s="17"/>
      <c r="D184" s="13"/>
      <c r="E184" s="13"/>
      <c r="F184" s="13"/>
      <c r="G184" s="15"/>
      <c r="H184" s="15"/>
      <c r="I184" s="16">
        <f>IF(C184="",0,IF(OR(A184="",A184="DNS"),0,IF(A184="DNF",1,IF(ISNUMBER(A184),IF($I$105="J",IF(A184&lt;=11,VLOOKUP(A184,Punten!$A$2:$C$31,3,FALSE()),1),IF(A184&lt;=30,VLOOKUP(A184,Punten!$A$2:$C$31,2,FALSE()),1)),0))))</f>
        <v>0</v>
      </c>
    </row>
    <row r="185" spans="1:9" x14ac:dyDescent="0.25">
      <c r="A185" s="12"/>
      <c r="B185" s="15"/>
      <c r="C185" s="17"/>
      <c r="D185" s="13"/>
      <c r="E185" s="13"/>
      <c r="F185" s="13"/>
      <c r="G185" s="15"/>
      <c r="H185" s="15"/>
      <c r="I185" s="16">
        <f>IF(C185="",0,IF(OR(A185="",A185="DNS"),0,IF(A185="DNF",1,IF(ISNUMBER(A185),IF($I$105="J",IF(A185&lt;=11,VLOOKUP(A185,Punten!$A$2:$C$31,3,FALSE()),1),IF(A185&lt;=30,VLOOKUP(A185,Punten!$A$2:$C$31,2,FALSE()),1)),0))))</f>
        <v>0</v>
      </c>
    </row>
    <row r="186" spans="1:9" x14ac:dyDescent="0.25">
      <c r="A186" s="12"/>
      <c r="B186" s="15"/>
      <c r="C186" s="17"/>
      <c r="D186" s="13"/>
      <c r="E186" s="13"/>
      <c r="F186" s="13"/>
      <c r="G186" s="15"/>
      <c r="H186" s="15"/>
      <c r="I186" s="16">
        <f>IF(C186="",0,IF(OR(A186="",A186="DNS"),0,IF(A186="DNF",1,IF(ISNUMBER(A186),IF($I$105="J",IF(A186&lt;=11,VLOOKUP(A186,Punten!$A$2:$C$31,3,FALSE()),1),IF(A186&lt;=30,VLOOKUP(A186,Punten!$A$2:$C$31,2,FALSE()),1)),0))))</f>
        <v>0</v>
      </c>
    </row>
    <row r="187" spans="1:9" x14ac:dyDescent="0.25">
      <c r="A187" s="12"/>
      <c r="B187" s="15"/>
      <c r="C187" s="17"/>
      <c r="D187" s="13"/>
      <c r="E187" s="13"/>
      <c r="F187" s="13"/>
      <c r="G187" s="15"/>
      <c r="H187" s="15"/>
      <c r="I187" s="16">
        <f>IF(C187="",0,IF(OR(A187="",A187="DNS"),0,IF(A187="DNF",1,IF(ISNUMBER(A187),IF($I$105="J",IF(A187&lt;=11,VLOOKUP(A187,Punten!$A$2:$C$31,3,FALSE()),1),IF(A187&lt;=30,VLOOKUP(A187,Punten!$A$2:$C$31,2,FALSE()),1)),0))))</f>
        <v>0</v>
      </c>
    </row>
    <row r="188" spans="1:9" x14ac:dyDescent="0.25">
      <c r="A188" s="12"/>
      <c r="B188" s="15"/>
      <c r="C188" s="17"/>
      <c r="D188" s="13"/>
      <c r="E188" s="13"/>
      <c r="F188" s="13"/>
      <c r="G188" s="15"/>
      <c r="H188" s="15"/>
      <c r="I188" s="16">
        <f>IF(C188="",0,IF(OR(A188="",A188="DNS"),0,IF(A188="DNF",1,IF(ISNUMBER(A188),IF($I$105="J",IF(A188&lt;=11,VLOOKUP(A188,Punten!$A$2:$C$31,3,FALSE()),1),IF(A188&lt;=30,VLOOKUP(A188,Punten!$A$2:$C$31,2,FALSE()),1)),0))))</f>
        <v>0</v>
      </c>
    </row>
    <row r="189" spans="1:9" x14ac:dyDescent="0.25">
      <c r="A189" s="12"/>
      <c r="B189" s="15"/>
      <c r="C189" s="17"/>
      <c r="D189" s="13"/>
      <c r="E189" s="13"/>
      <c r="F189" s="13"/>
      <c r="G189" s="15"/>
      <c r="H189" s="15"/>
      <c r="I189" s="16">
        <f>IF(C189="",0,IF(OR(A189="",A189="DNS"),0,IF(A189="DNF",1,IF(ISNUMBER(A189),IF($I$105="J",IF(A189&lt;=11,VLOOKUP(A189,Punten!$A$2:$C$31,3,FALSE()),1),IF(A189&lt;=30,VLOOKUP(A189,Punten!$A$2:$C$31,2,FALSE()),1)),0))))</f>
        <v>0</v>
      </c>
    </row>
    <row r="190" spans="1:9" x14ac:dyDescent="0.25">
      <c r="A190" s="12"/>
      <c r="B190" s="15"/>
      <c r="C190" s="17"/>
      <c r="D190" s="13"/>
      <c r="E190" s="13"/>
      <c r="F190" s="13"/>
      <c r="G190" s="15"/>
      <c r="H190" s="15"/>
      <c r="I190" s="16">
        <f>IF(C190="",0,IF(OR(A190="",A190="DNS"),0,IF(A190="DNF",1,IF(ISNUMBER(A190),IF($I$105="J",IF(A190&lt;=11,VLOOKUP(A190,Punten!$A$2:$C$31,3,FALSE()),1),IF(A190&lt;=30,VLOOKUP(A190,Punten!$A$2:$C$31,2,FALSE()),1)),0))))</f>
        <v>0</v>
      </c>
    </row>
    <row r="191" spans="1:9" x14ac:dyDescent="0.25">
      <c r="A191" s="12"/>
      <c r="B191" s="15"/>
      <c r="C191" s="17"/>
      <c r="D191" s="13"/>
      <c r="E191" s="13"/>
      <c r="F191" s="13"/>
      <c r="G191" s="15"/>
      <c r="H191" s="15"/>
      <c r="I191" s="16">
        <f>IF(C191="",0,IF(OR(A191="",A191="DNS"),0,IF(A191="DNF",1,IF(ISNUMBER(A191),IF($I$105="J",IF(A191&lt;=11,VLOOKUP(A191,Punten!$A$2:$C$31,3,FALSE()),1),IF(A191&lt;=30,VLOOKUP(A191,Punten!$A$2:$C$31,2,FALSE()),1)),0))))</f>
        <v>0</v>
      </c>
    </row>
    <row r="192" spans="1:9" x14ac:dyDescent="0.25">
      <c r="A192" s="12"/>
      <c r="B192" s="15"/>
      <c r="C192" s="17"/>
      <c r="D192" s="13"/>
      <c r="E192" s="13"/>
      <c r="F192" s="13"/>
      <c r="G192" s="15"/>
      <c r="H192" s="15"/>
      <c r="I192" s="16">
        <f>IF(C192="",0,IF(OR(A192="",A192="DNS"),0,IF(A192="DNF",1,IF(ISNUMBER(A192),IF($I$105="J",IF(A192&lt;=11,VLOOKUP(A192,Punten!$A$2:$C$31,3,FALSE()),1),IF(A192&lt;=30,VLOOKUP(A192,Punten!$A$2:$C$31,2,FALSE()),1)),0))))</f>
        <v>0</v>
      </c>
    </row>
    <row r="193" spans="1:9" x14ac:dyDescent="0.25">
      <c r="A193" s="12"/>
      <c r="B193" s="15"/>
      <c r="C193" s="17"/>
      <c r="D193" s="13"/>
      <c r="E193" s="13"/>
      <c r="F193" s="13"/>
      <c r="G193" s="15"/>
      <c r="H193" s="15"/>
      <c r="I193" s="16">
        <f>IF(C193="",0,IF(OR(A193="",A193="DNS"),0,IF(A193="DNF",1,IF(ISNUMBER(A193),IF($I$105="J",IF(A193&lt;=11,VLOOKUP(A193,Punten!$A$2:$C$31,3,FALSE()),1),IF(A193&lt;=30,VLOOKUP(A193,Punten!$A$2:$C$31,2,FALSE()),1)),0))))</f>
        <v>0</v>
      </c>
    </row>
    <row r="194" spans="1:9" x14ac:dyDescent="0.25">
      <c r="A194" s="12"/>
      <c r="B194" s="15"/>
      <c r="C194" s="17"/>
      <c r="D194" s="13"/>
      <c r="E194" s="13"/>
      <c r="F194" s="13"/>
      <c r="G194" s="15"/>
      <c r="H194" s="15"/>
      <c r="I194" s="16">
        <f>IF(C194="",0,IF(OR(A194="",A194="DNS"),0,IF(A194="DNF",1,IF(ISNUMBER(A194),IF($I$105="J",IF(A194&lt;=11,VLOOKUP(A194,Punten!$A$2:$C$31,3,FALSE()),1),IF(A194&lt;=30,VLOOKUP(A194,Punten!$A$2:$C$31,2,FALSE()),1)),0))))</f>
        <v>0</v>
      </c>
    </row>
    <row r="195" spans="1:9" x14ac:dyDescent="0.25">
      <c r="A195" s="12"/>
      <c r="B195" s="15"/>
      <c r="C195" s="17"/>
      <c r="D195" s="13"/>
      <c r="E195" s="13"/>
      <c r="F195" s="13"/>
      <c r="G195" s="15"/>
      <c r="H195" s="15"/>
      <c r="I195" s="16">
        <f>IF(C195="",0,IF(OR(A195="",A195="DNS"),0,IF(A195="DNF",1,IF(ISNUMBER(A195),IF($I$105="J",IF(A195&lt;=11,VLOOKUP(A195,Punten!$A$2:$C$31,3,FALSE()),1),IF(A195&lt;=30,VLOOKUP(A195,Punten!$A$2:$C$31,2,FALSE()),1)),0))))</f>
        <v>0</v>
      </c>
    </row>
    <row r="196" spans="1:9" x14ac:dyDescent="0.25">
      <c r="A196" s="12"/>
      <c r="B196" s="15"/>
      <c r="C196" s="17"/>
      <c r="D196" s="13"/>
      <c r="E196" s="13"/>
      <c r="F196" s="13"/>
      <c r="G196" s="15"/>
      <c r="H196" s="15"/>
      <c r="I196" s="16">
        <f>IF(C196="",0,IF(OR(A196="",A196="DNS"),0,IF(A196="DNF",1,IF(ISNUMBER(A196),IF($I$105="J",IF(A196&lt;=11,VLOOKUP(A196,Punten!$A$2:$C$31,3,FALSE()),1),IF(A196&lt;=30,VLOOKUP(A196,Punten!$A$2:$C$31,2,FALSE()),1)),0))))</f>
        <v>0</v>
      </c>
    </row>
    <row r="197" spans="1:9" x14ac:dyDescent="0.25">
      <c r="A197" s="12"/>
      <c r="B197" s="15"/>
      <c r="C197" s="17"/>
      <c r="D197" s="13"/>
      <c r="E197" s="13"/>
      <c r="F197" s="13"/>
      <c r="G197" s="15"/>
      <c r="H197" s="15"/>
      <c r="I197" s="16">
        <f>IF(C197="",0,IF(OR(A197="",A197="DNS"),0,IF(A197="DNF",1,IF(ISNUMBER(A197),IF($I$105="J",IF(A197&lt;=11,VLOOKUP(A197,Punten!$A$2:$C$31,3,FALSE()),1),IF(A197&lt;=30,VLOOKUP(A197,Punten!$A$2:$C$31,2,FALSE()),1)),0))))</f>
        <v>0</v>
      </c>
    </row>
    <row r="198" spans="1:9" x14ac:dyDescent="0.25">
      <c r="A198" s="12"/>
      <c r="B198" s="15"/>
      <c r="C198" s="17"/>
      <c r="D198" s="13"/>
      <c r="E198" s="13"/>
      <c r="F198" s="13"/>
      <c r="G198" s="15"/>
      <c r="H198" s="15"/>
      <c r="I198" s="16">
        <f>IF(C198="",0,IF(OR(A198="",A198="DNS"),0,IF(A198="DNF",1,IF(ISNUMBER(A198),IF($I$105="J",IF(A198&lt;=11,VLOOKUP(A198,Punten!$A$2:$C$31,3,FALSE()),1),IF(A198&lt;=30,VLOOKUP(A198,Punten!$A$2:$C$31,2,FALSE()),1)),0))))</f>
        <v>0</v>
      </c>
    </row>
    <row r="199" spans="1:9" x14ac:dyDescent="0.25">
      <c r="A199" s="12"/>
      <c r="B199" s="15"/>
      <c r="C199" s="17"/>
      <c r="D199" s="13"/>
      <c r="E199" s="13"/>
      <c r="F199" s="13"/>
      <c r="G199" s="15"/>
      <c r="H199" s="15"/>
      <c r="I199" s="16">
        <f>IF(C199="",0,IF(OR(A199="",A199="DNS"),0,IF(A199="DNF",1,IF(ISNUMBER(A199),IF($I$105="J",IF(A199&lt;=11,VLOOKUP(A199,Punten!$A$2:$C$31,3,FALSE()),1),IF(A199&lt;=30,VLOOKUP(A199,Punten!$A$2:$C$31,2,FALSE()),1)),0))))</f>
        <v>0</v>
      </c>
    </row>
    <row r="200" spans="1:9" x14ac:dyDescent="0.25">
      <c r="A200" s="12"/>
      <c r="B200" s="15"/>
      <c r="C200" s="17"/>
      <c r="D200" s="13"/>
      <c r="E200" s="13"/>
      <c r="F200" s="13"/>
      <c r="G200" s="15"/>
      <c r="H200" s="15"/>
      <c r="I200" s="16">
        <f>IF(C200="",0,IF(OR(A200="",A200="DNS"),0,IF(A200="DNF",1,IF(ISNUMBER(A200),IF($I$105="J",IF(A200&lt;=11,VLOOKUP(A200,Punten!$A$2:$C$31,3,FALSE()),1),IF(A200&lt;=30,VLOOKUP(A200,Punten!$A$2:$C$31,2,FALSE()),1)),0))))</f>
        <v>0</v>
      </c>
    </row>
    <row r="201" spans="1:9" x14ac:dyDescent="0.25">
      <c r="A201" s="12"/>
      <c r="B201" s="15"/>
      <c r="C201" s="17"/>
      <c r="D201" s="13"/>
      <c r="E201" s="13"/>
      <c r="F201" s="13"/>
      <c r="G201" s="15"/>
      <c r="H201" s="15"/>
      <c r="I201" s="16">
        <f>IF(C201="",0,IF(OR(A201="",A201="DNS"),0,IF(A201="DNF",1,IF(ISNUMBER(A201),IF($I$105="J",IF(A201&lt;=11,VLOOKUP(A201,Punten!$A$2:$C$31,3,FALSE()),1),IF(A201&lt;=30,VLOOKUP(A201,Punten!$A$2:$C$31,2,FALSE()),1)),0))))</f>
        <v>0</v>
      </c>
    </row>
    <row r="202" spans="1:9" x14ac:dyDescent="0.25">
      <c r="A202" s="12"/>
      <c r="B202" s="15"/>
      <c r="C202" s="17"/>
      <c r="D202" s="13"/>
      <c r="E202" s="13"/>
      <c r="F202" s="13"/>
      <c r="G202" s="15"/>
      <c r="H202" s="15"/>
      <c r="I202" s="16">
        <f>IF(C202="",0,IF(OR(A202="",A202="DNS"),0,IF(A202="DNF",1,IF(ISNUMBER(A202),IF($I$105="J",IF(A202&lt;=11,VLOOKUP(A202,Punten!$A$2:$C$31,3,FALSE()),1),IF(A202&lt;=30,VLOOKUP(A202,Punten!$A$2:$C$31,2,FALSE()),1)),0))))</f>
        <v>0</v>
      </c>
    </row>
    <row r="203" spans="1:9" x14ac:dyDescent="0.25">
      <c r="A203" s="12"/>
      <c r="B203" s="15"/>
      <c r="C203" s="17"/>
      <c r="D203" s="13"/>
      <c r="E203" s="13"/>
      <c r="F203" s="13"/>
      <c r="G203" s="15"/>
      <c r="H203" s="15"/>
      <c r="I203" s="16">
        <f>IF(C203="",0,IF(OR(A203="",A203="DNS"),0,IF(A203="DNF",1,IF(ISNUMBER(A203),IF($I$105="J",IF(A203&lt;=11,VLOOKUP(A203,Punten!$A$2:$C$31,3,FALSE()),1),IF(A203&lt;=30,VLOOKUP(A203,Punten!$A$2:$C$31,2,FALSE()),1)),0))))</f>
        <v>0</v>
      </c>
    </row>
    <row r="204" spans="1:9" x14ac:dyDescent="0.25">
      <c r="A204" s="12"/>
      <c r="B204" s="15"/>
      <c r="C204" s="17"/>
      <c r="D204" s="13"/>
      <c r="E204" s="13"/>
      <c r="F204" s="13"/>
      <c r="G204" s="15"/>
      <c r="H204" s="15"/>
      <c r="I204" s="16">
        <f>IF(C204="",0,IF(OR(A204="",A204="DNS"),0,IF(A204="DNF",1,IF(ISNUMBER(A204),IF($I$105="J",IF(A204&lt;=11,VLOOKUP(A204,Punten!$A$2:$C$31,3,FALSE()),1),IF(A204&lt;=30,VLOOKUP(A204,Punten!$A$2:$C$31,2,FALSE()),1)),0))))</f>
        <v>0</v>
      </c>
    </row>
    <row r="205" spans="1:9" x14ac:dyDescent="0.25">
      <c r="A205" s="12"/>
      <c r="B205" s="15"/>
      <c r="C205" s="17"/>
      <c r="D205" s="13"/>
      <c r="E205" s="13"/>
      <c r="F205" s="13"/>
      <c r="G205" s="15"/>
      <c r="H205" s="15"/>
      <c r="I205" s="16">
        <f>IF(C205="",0,IF(OR(A205="",A205="DNS"),0,IF(A205="DNF",1,IF(ISNUMBER(A205),IF($I$105="J",IF(A205&lt;=11,VLOOKUP(A205,Punten!$A$2:$C$31,3,FALSE()),1),IF(A205&lt;=30,VLOOKUP(A205,Punten!$A$2:$C$31,2,FALSE()),1)),0))))</f>
        <v>0</v>
      </c>
    </row>
    <row r="206" spans="1:9" x14ac:dyDescent="0.25">
      <c r="A206" s="12"/>
      <c r="B206" s="15"/>
      <c r="C206" s="17"/>
      <c r="D206" s="13"/>
      <c r="E206" s="13"/>
      <c r="F206" s="13"/>
      <c r="G206" s="15"/>
      <c r="H206" s="15"/>
      <c r="I206" s="16">
        <f>IF(C206="",0,IF(OR(A206="",A206="DNS"),0,IF(A206="DNF",1,IF(ISNUMBER(A206),IF($I$105="J",IF(A206&lt;=11,VLOOKUP(A206,Punten!$A$2:$C$31,3,FALSE()),1),IF(A206&lt;=30,VLOOKUP(A206,Punten!$A$2:$C$31,2,FALSE()),1)),0))))</f>
        <v>0</v>
      </c>
    </row>
    <row r="208" spans="1:9" ht="16.5" customHeight="1" x14ac:dyDescent="0.25">
      <c r="A208" s="36" t="s">
        <v>130</v>
      </c>
      <c r="B208" s="37"/>
      <c r="C208" s="8"/>
      <c r="D208" s="8"/>
      <c r="E208" s="8"/>
      <c r="F208" s="8"/>
      <c r="G208" s="8"/>
      <c r="H208" s="9" t="s">
        <v>23</v>
      </c>
      <c r="I208" s="10" t="s">
        <v>24</v>
      </c>
    </row>
    <row r="209" spans="1:9" x14ac:dyDescent="0.25">
      <c r="A209" s="11" t="s">
        <v>25</v>
      </c>
      <c r="B209" s="11" t="s">
        <v>26</v>
      </c>
      <c r="C209" s="11" t="s">
        <v>27</v>
      </c>
      <c r="D209" s="11" t="s">
        <v>98</v>
      </c>
      <c r="E209" s="11" t="s">
        <v>28</v>
      </c>
      <c r="F209" s="11" t="s">
        <v>29</v>
      </c>
      <c r="G209" s="11" t="s">
        <v>30</v>
      </c>
      <c r="H209" s="11" t="s">
        <v>31</v>
      </c>
      <c r="I209" s="11" t="s">
        <v>32</v>
      </c>
    </row>
    <row r="210" spans="1:9" x14ac:dyDescent="0.25">
      <c r="A210" s="12">
        <v>1</v>
      </c>
      <c r="B210" s="15">
        <v>1</v>
      </c>
      <c r="C210" s="17" t="s">
        <v>194</v>
      </c>
      <c r="D210" s="13" t="s">
        <v>100</v>
      </c>
      <c r="E210" s="13" t="s">
        <v>195</v>
      </c>
      <c r="F210" s="13" t="s">
        <v>196</v>
      </c>
      <c r="G210" s="15">
        <v>4.3819444444444446E-2</v>
      </c>
      <c r="H210" s="15" t="s">
        <v>102</v>
      </c>
      <c r="I210" s="16">
        <f>IF(C210="",0,IF(OR(A210="",A210="DNS"),0,IF(A210="DNF",1,IF(ISNUMBER(A210),IF($I$208="J",IF(A210&lt;=11,VLOOKUP(A210,Punten!$A$2:$C$31,3,FALSE()),1),IF(A210&lt;=30,VLOOKUP(A210,Punten!$A$2:$C$31,2,FALSE()),1)),0))))</f>
        <v>100.1</v>
      </c>
    </row>
    <row r="211" spans="1:9" x14ac:dyDescent="0.25">
      <c r="A211" s="12">
        <v>2</v>
      </c>
      <c r="B211" s="15">
        <v>6</v>
      </c>
      <c r="C211" s="17" t="s">
        <v>197</v>
      </c>
      <c r="D211" s="13" t="s">
        <v>100</v>
      </c>
      <c r="E211" s="13" t="s">
        <v>195</v>
      </c>
      <c r="F211" s="13" t="s">
        <v>196</v>
      </c>
      <c r="G211" s="15">
        <v>4.3831018518518519E-2</v>
      </c>
      <c r="H211" s="15">
        <v>1077</v>
      </c>
      <c r="I211" s="16">
        <f>IF(C211="",0,IF(OR(A211="",A211="DNS"),0,IF(A211="DNF",1,IF(ISNUMBER(A211),IF($I$208="J",IF(A211&lt;=11,VLOOKUP(A211,Punten!$A$2:$C$31,3,FALSE()),1),IF(A211&lt;=30,VLOOKUP(A211,Punten!$A$2:$C$31,2,FALSE()),1)),0))))</f>
        <v>90</v>
      </c>
    </row>
    <row r="212" spans="1:9" x14ac:dyDescent="0.25">
      <c r="A212" s="12">
        <v>3</v>
      </c>
      <c r="B212" s="15">
        <v>2</v>
      </c>
      <c r="C212" s="17" t="s">
        <v>198</v>
      </c>
      <c r="D212" s="13" t="s">
        <v>100</v>
      </c>
      <c r="E212" s="13" t="s">
        <v>133</v>
      </c>
      <c r="F212" s="13" t="s">
        <v>199</v>
      </c>
      <c r="G212" s="15">
        <v>4.4270833333333336E-2</v>
      </c>
      <c r="H212" s="15">
        <v>39371</v>
      </c>
      <c r="I212" s="16">
        <f>IF(C212="",0,IF(OR(A212="",A212="DNS"),0,IF(A212="DNF",1,IF(ISNUMBER(A212),IF($I$208="J",IF(A212&lt;=11,VLOOKUP(A212,Punten!$A$2:$C$31,3,FALSE()),1),IF(A212&lt;=30,VLOOKUP(A212,Punten!$A$2:$C$31,2,FALSE()),1)),0))))</f>
        <v>85</v>
      </c>
    </row>
    <row r="213" spans="1:9" x14ac:dyDescent="0.25">
      <c r="A213" s="12">
        <v>4</v>
      </c>
      <c r="B213" s="15">
        <v>12</v>
      </c>
      <c r="C213" s="17" t="s">
        <v>200</v>
      </c>
      <c r="D213" s="13" t="s">
        <v>100</v>
      </c>
      <c r="E213" s="13" t="s">
        <v>133</v>
      </c>
      <c r="F213" s="13" t="s">
        <v>201</v>
      </c>
      <c r="G213" s="15">
        <v>4.4282407407407409E-2</v>
      </c>
      <c r="H213" s="15">
        <v>39505</v>
      </c>
      <c r="I213" s="16">
        <f>IF(C213="",0,IF(OR(A213="",A213="DNS"),0,IF(A213="DNF",1,IF(ISNUMBER(A213),IF($I$208="J",IF(A213&lt;=11,VLOOKUP(A213,Punten!$A$2:$C$31,3,FALSE()),1),IF(A213&lt;=30,VLOOKUP(A213,Punten!$A$2:$C$31,2,FALSE()),1)),0))))</f>
        <v>80</v>
      </c>
    </row>
    <row r="214" spans="1:9" x14ac:dyDescent="0.25">
      <c r="A214" s="12">
        <v>5</v>
      </c>
      <c r="B214" s="15">
        <v>10</v>
      </c>
      <c r="C214" s="17" t="s">
        <v>202</v>
      </c>
      <c r="D214" s="13" t="s">
        <v>100</v>
      </c>
      <c r="E214" s="13" t="s">
        <v>133</v>
      </c>
      <c r="F214" s="13" t="s">
        <v>203</v>
      </c>
      <c r="G214" s="15">
        <v>4.4282407407407409E-2</v>
      </c>
      <c r="H214" s="15">
        <v>40464</v>
      </c>
      <c r="I214" s="16">
        <f>IF(C214="",0,IF(OR(A214="",A214="DNS"),0,IF(A214="DNF",1,IF(ISNUMBER(A214),IF($I$208="J",IF(A214&lt;=11,VLOOKUP(A214,Punten!$A$2:$C$31,3,FALSE()),1),IF(A214&lt;=30,VLOOKUP(A214,Punten!$A$2:$C$31,2,FALSE()),1)),0))))</f>
        <v>75</v>
      </c>
    </row>
    <row r="215" spans="1:9" x14ac:dyDescent="0.25">
      <c r="A215" s="12">
        <v>6</v>
      </c>
      <c r="B215" s="15">
        <v>15</v>
      </c>
      <c r="C215" s="17" t="s">
        <v>204</v>
      </c>
      <c r="D215" s="13" t="s">
        <v>205</v>
      </c>
      <c r="E215" s="13"/>
      <c r="F215" s="13"/>
      <c r="G215" s="15">
        <v>4.4293981481481483E-2</v>
      </c>
      <c r="H215" s="15">
        <v>41244</v>
      </c>
      <c r="I215" s="16">
        <f>IF(C215="",0,IF(OR(A215="",A215="DNS"),0,IF(A215="DNF",1,IF(ISNUMBER(A215),IF($I$208="J",IF(A215&lt;=11,VLOOKUP(A215,Punten!$A$2:$C$31,3,FALSE()),1),IF(A215&lt;=30,VLOOKUP(A215,Punten!$A$2:$C$31,2,FALSE()),1)),0))))</f>
        <v>70</v>
      </c>
    </row>
    <row r="216" spans="1:9" x14ac:dyDescent="0.25">
      <c r="A216" s="12">
        <v>7</v>
      </c>
      <c r="B216" s="15">
        <v>14</v>
      </c>
      <c r="C216" s="17" t="s">
        <v>134</v>
      </c>
      <c r="D216" s="13" t="s">
        <v>100</v>
      </c>
      <c r="E216" s="13" t="s">
        <v>133</v>
      </c>
      <c r="F216" s="13" t="s">
        <v>101</v>
      </c>
      <c r="G216" s="15">
        <v>4.4293981481481483E-2</v>
      </c>
      <c r="H216" s="15">
        <v>41386</v>
      </c>
      <c r="I216" s="16">
        <f>IF(C216="",0,IF(OR(A216="",A216="DNS"),0,IF(A216="DNF",1,IF(ISNUMBER(A216),IF($I$208="J",IF(A216&lt;=11,VLOOKUP(A216,Punten!$A$2:$C$31,3,FALSE()),1),IF(A216&lt;=30,VLOOKUP(A216,Punten!$A$2:$C$31,2,FALSE()),1)),0))))</f>
        <v>66</v>
      </c>
    </row>
    <row r="217" spans="1:9" x14ac:dyDescent="0.25">
      <c r="A217" s="12">
        <v>8</v>
      </c>
      <c r="B217" s="15">
        <v>4</v>
      </c>
      <c r="C217" s="17" t="s">
        <v>206</v>
      </c>
      <c r="D217" s="13" t="s">
        <v>100</v>
      </c>
      <c r="E217" s="13" t="s">
        <v>133</v>
      </c>
      <c r="F217" s="13" t="s">
        <v>101</v>
      </c>
      <c r="G217" s="15">
        <v>4.4305555555555556E-2</v>
      </c>
      <c r="H217" s="15">
        <v>41525</v>
      </c>
      <c r="I217" s="16">
        <f>IF(C217="",0,IF(OR(A217="",A217="DNS"),0,IF(A217="DNF",1,IF(ISNUMBER(A217),IF($I$208="J",IF(A217&lt;=11,VLOOKUP(A217,Punten!$A$2:$C$31,3,FALSE()),1),IF(A217&lt;=30,VLOOKUP(A217,Punten!$A$2:$C$31,2,FALSE()),1)),0))))</f>
        <v>62</v>
      </c>
    </row>
    <row r="218" spans="1:9" x14ac:dyDescent="0.25">
      <c r="A218" s="12">
        <v>9</v>
      </c>
      <c r="B218" s="15">
        <v>8</v>
      </c>
      <c r="C218" s="17" t="s">
        <v>135</v>
      </c>
      <c r="D218" s="13" t="s">
        <v>100</v>
      </c>
      <c r="E218" s="13" t="s">
        <v>133</v>
      </c>
      <c r="F218" s="13" t="s">
        <v>101</v>
      </c>
      <c r="G218" s="15">
        <v>4.4305555555555556E-2</v>
      </c>
      <c r="H218" s="15">
        <v>41588</v>
      </c>
      <c r="I218" s="16">
        <f>IF(C218="",0,IF(OR(A218="",A218="DNS"),0,IF(A218="DNF",1,IF(ISNUMBER(A218),IF($I$208="J",IF(A218&lt;=11,VLOOKUP(A218,Punten!$A$2:$C$31,3,FALSE()),1),IF(A218&lt;=30,VLOOKUP(A218,Punten!$A$2:$C$31,2,FALSE()),1)),0))))</f>
        <v>58</v>
      </c>
    </row>
    <row r="219" spans="1:9" x14ac:dyDescent="0.25">
      <c r="A219" s="12">
        <v>10</v>
      </c>
      <c r="B219" s="15">
        <v>9</v>
      </c>
      <c r="C219" s="17" t="s">
        <v>207</v>
      </c>
      <c r="D219" s="13" t="s">
        <v>100</v>
      </c>
      <c r="E219" s="13" t="s">
        <v>133</v>
      </c>
      <c r="F219" s="13" t="s">
        <v>208</v>
      </c>
      <c r="G219" s="15">
        <v>4.431712962962963E-2</v>
      </c>
      <c r="H219" s="15">
        <v>42892</v>
      </c>
      <c r="I219" s="16">
        <f>IF(C219="",0,IF(OR(A219="",A219="DNS"),0,IF(A219="DNF",1,IF(ISNUMBER(A219),IF($I$208="J",IF(A219&lt;=11,VLOOKUP(A219,Punten!$A$2:$C$31,3,FALSE()),1),IF(A219&lt;=30,VLOOKUP(A219,Punten!$A$2:$C$31,2,FALSE()),1)),0))))</f>
        <v>54</v>
      </c>
    </row>
    <row r="220" spans="1:9" x14ac:dyDescent="0.25">
      <c r="A220" s="12">
        <v>11</v>
      </c>
      <c r="B220" s="15">
        <v>5</v>
      </c>
      <c r="C220" s="17" t="s">
        <v>209</v>
      </c>
      <c r="D220" s="13" t="s">
        <v>100</v>
      </c>
      <c r="E220" s="13" t="s">
        <v>133</v>
      </c>
      <c r="F220" s="13" t="s">
        <v>196</v>
      </c>
      <c r="G220" s="15">
        <v>4.431712962962963E-2</v>
      </c>
      <c r="H220" s="15">
        <v>42970</v>
      </c>
      <c r="I220" s="16">
        <f>IF(C220="",0,IF(OR(A220="",A220="DNS"),0,IF(A220="DNF",1,IF(ISNUMBER(A220),IF($I$208="J",IF(A220&lt;=11,VLOOKUP(A220,Punten!$A$2:$C$31,3,FALSE()),1),IF(A220&lt;=30,VLOOKUP(A220,Punten!$A$2:$C$31,2,FALSE()),1)),0))))</f>
        <v>50</v>
      </c>
    </row>
    <row r="221" spans="1:9" x14ac:dyDescent="0.25">
      <c r="A221" s="12">
        <v>12</v>
      </c>
      <c r="B221" s="15">
        <v>7</v>
      </c>
      <c r="C221" s="17" t="s">
        <v>210</v>
      </c>
      <c r="D221" s="13" t="s">
        <v>100</v>
      </c>
      <c r="E221" s="13" t="s">
        <v>133</v>
      </c>
      <c r="F221" s="13" t="s">
        <v>211</v>
      </c>
      <c r="G221" s="15">
        <v>4.4328703703703703E-2</v>
      </c>
      <c r="H221" s="15">
        <v>43690</v>
      </c>
      <c r="I221" s="16">
        <f>IF(C221="",0,IF(OR(A221="",A221="DNS"),0,IF(A221="DNF",1,IF(ISNUMBER(A221),IF($I$208="J",IF(A221&lt;=11,VLOOKUP(A221,Punten!$A$2:$C$31,3,FALSE()),1),IF(A221&lt;=30,VLOOKUP(A221,Punten!$A$2:$C$31,2,FALSE()),1)),0))))</f>
        <v>47</v>
      </c>
    </row>
    <row r="222" spans="1:9" x14ac:dyDescent="0.25">
      <c r="A222" s="12">
        <v>13</v>
      </c>
      <c r="B222" s="15">
        <v>17</v>
      </c>
      <c r="C222" s="17" t="s">
        <v>212</v>
      </c>
      <c r="D222" s="13" t="s">
        <v>100</v>
      </c>
      <c r="E222" s="13" t="s">
        <v>195</v>
      </c>
      <c r="F222" s="13" t="s">
        <v>211</v>
      </c>
      <c r="G222" s="15">
        <v>4.4444444444444446E-2</v>
      </c>
      <c r="H222" s="15" t="s">
        <v>213</v>
      </c>
      <c r="I222" s="16">
        <f>IF(C222="",0,IF(OR(A222="",A222="DNS"),0,IF(A222="DNF",1,IF(ISNUMBER(A222),IF($I$208="J",IF(A222&lt;=11,VLOOKUP(A222,Punten!$A$2:$C$31,3,FALSE()),1),IF(A222&lt;=30,VLOOKUP(A222,Punten!$A$2:$C$31,2,FALSE()),1)),0))))</f>
        <v>44</v>
      </c>
    </row>
    <row r="223" spans="1:9" x14ac:dyDescent="0.25">
      <c r="A223" s="12" t="s">
        <v>214</v>
      </c>
      <c r="B223" s="15">
        <v>11</v>
      </c>
      <c r="C223" s="17" t="s">
        <v>132</v>
      </c>
      <c r="D223" s="13" t="s">
        <v>100</v>
      </c>
      <c r="E223" s="13" t="s">
        <v>133</v>
      </c>
      <c r="F223" s="13" t="s">
        <v>101</v>
      </c>
      <c r="G223" s="15">
        <v>4.4641203703703704E-2</v>
      </c>
      <c r="H223" s="15" t="s">
        <v>213</v>
      </c>
      <c r="I223" s="16">
        <f>IF(C223="",0,IF(OR(A223="",A223="DNS"),0,IF(A223="DNF",1,IF(ISNUMBER(A223),IF($I$208="J",IF(A223&lt;=11,VLOOKUP(A223,Punten!$A$2:$C$31,3,FALSE()),1),IF(A223&lt;=30,VLOOKUP(A223,Punten!$A$2:$C$31,2,FALSE()),1)),0))))</f>
        <v>0</v>
      </c>
    </row>
    <row r="224" spans="1:9" x14ac:dyDescent="0.25">
      <c r="A224" s="12" t="s">
        <v>215</v>
      </c>
      <c r="B224" s="15">
        <v>13</v>
      </c>
      <c r="C224" s="17" t="s">
        <v>216</v>
      </c>
      <c r="D224" s="13" t="s">
        <v>100</v>
      </c>
      <c r="E224" s="13" t="s">
        <v>133</v>
      </c>
      <c r="F224" s="13" t="s">
        <v>101</v>
      </c>
      <c r="G224" s="15">
        <v>4.4467592592592593E-2</v>
      </c>
      <c r="H224" s="15" t="s">
        <v>217</v>
      </c>
      <c r="I224" s="16">
        <f>IF(C224="",0,IF(OR(A224="",A224="DNS"),0,IF(A224="DNF",1,IF(ISNUMBER(A224),IF($I$208="J",IF(A224&lt;=11,VLOOKUP(A224,Punten!$A$2:$C$31,3,FALSE()),1),IF(A224&lt;=30,VLOOKUP(A224,Punten!$A$2:$C$31,2,FALSE()),1)),0))))</f>
        <v>0</v>
      </c>
    </row>
    <row r="225" spans="1:9" x14ac:dyDescent="0.25">
      <c r="A225" s="12" t="s">
        <v>65</v>
      </c>
      <c r="B225" s="15">
        <v>16</v>
      </c>
      <c r="C225" s="17" t="s">
        <v>218</v>
      </c>
      <c r="D225" s="13" t="s">
        <v>100</v>
      </c>
      <c r="E225" s="13" t="s">
        <v>133</v>
      </c>
      <c r="F225" s="13" t="s">
        <v>219</v>
      </c>
      <c r="G225" s="15">
        <v>1.59375E-2</v>
      </c>
      <c r="H225" s="15" t="s">
        <v>220</v>
      </c>
      <c r="I225" s="16">
        <f>IF(C225="",0,IF(OR(A225="",A225="DNS"),0,IF(A225="DNF",1,IF(ISNUMBER(A225),IF($I$208="J",IF(A225&lt;=11,VLOOKUP(A225,Punten!$A$2:$C$31,3,FALSE()),1),IF(A225&lt;=30,VLOOKUP(A225,Punten!$A$2:$C$31,2,FALSE()),1)),0))))</f>
        <v>1</v>
      </c>
    </row>
    <row r="226" spans="1:9" x14ac:dyDescent="0.25">
      <c r="A226" s="12" t="s">
        <v>65</v>
      </c>
      <c r="B226" s="15">
        <v>3</v>
      </c>
      <c r="C226" s="17" t="s">
        <v>221</v>
      </c>
      <c r="D226" s="13" t="s">
        <v>100</v>
      </c>
      <c r="E226" s="13" t="s">
        <v>133</v>
      </c>
      <c r="F226" s="13" t="s">
        <v>110</v>
      </c>
      <c r="G226" s="15">
        <v>0</v>
      </c>
      <c r="H226" s="15" t="s">
        <v>220</v>
      </c>
      <c r="I226" s="16">
        <f>IF(C226="",0,IF(OR(A226="",A226="DNS"),0,IF(A226="DNF",1,IF(ISNUMBER(A226),IF($I$208="J",IF(A226&lt;=11,VLOOKUP(A226,Punten!$A$2:$C$31,3,FALSE()),1),IF(A226&lt;=30,VLOOKUP(A226,Punten!$A$2:$C$31,2,FALSE()),1)),0))))</f>
        <v>1</v>
      </c>
    </row>
    <row r="227" spans="1:9" x14ac:dyDescent="0.25">
      <c r="A227" s="12"/>
      <c r="B227" s="15"/>
      <c r="C227" s="17"/>
      <c r="D227" s="13"/>
      <c r="E227" s="13"/>
      <c r="F227" s="13"/>
      <c r="G227" s="15"/>
      <c r="H227" s="15"/>
      <c r="I227" s="16">
        <f>IF(C227="",0,IF(OR(A227="",A227="DNS"),0,IF(A227="DNF",1,IF(ISNUMBER(A227),IF($I$208="J",IF(A227&lt;=11,VLOOKUP(A227,Punten!$A$2:$C$31,3,FALSE()),1),IF(A227&lt;=30,VLOOKUP(A227,Punten!$A$2:$C$31,2,FALSE()),1)),0))))</f>
        <v>0</v>
      </c>
    </row>
    <row r="228" spans="1:9" x14ac:dyDescent="0.25">
      <c r="A228" s="12"/>
      <c r="B228" s="15"/>
      <c r="C228" s="17"/>
      <c r="D228" s="13"/>
      <c r="E228" s="13"/>
      <c r="F228" s="13"/>
      <c r="G228" s="15"/>
      <c r="H228" s="15"/>
      <c r="I228" s="16">
        <f>IF(C228="",0,IF(OR(A228="",A228="DNS"),0,IF(A228="DNF",1,IF(ISNUMBER(A228),IF($I$208="J",IF(A228&lt;=11,VLOOKUP(A228,Punten!$A$2:$C$31,3,FALSE()),1),IF(A228&lt;=30,VLOOKUP(A228,Punten!$A$2:$C$31,2,FALSE()),1)),0))))</f>
        <v>0</v>
      </c>
    </row>
    <row r="229" spans="1:9" x14ac:dyDescent="0.25">
      <c r="A229" s="12"/>
      <c r="B229" s="15"/>
      <c r="C229" s="17"/>
      <c r="D229" s="13"/>
      <c r="E229" s="13"/>
      <c r="F229" s="13"/>
      <c r="G229" s="15"/>
      <c r="H229" s="15"/>
      <c r="I229" s="16">
        <f>IF(C229="",0,IF(OR(A229="",A229="DNS"),0,IF(A229="DNF",1,IF(ISNUMBER(A229),IF($I$208="J",IF(A229&lt;=11,VLOOKUP(A229,Punten!$A$2:$C$31,3,FALSE()),1),IF(A229&lt;=30,VLOOKUP(A229,Punten!$A$2:$C$31,2,FALSE()),1)),0))))</f>
        <v>0</v>
      </c>
    </row>
    <row r="230" spans="1:9" x14ac:dyDescent="0.25">
      <c r="A230" s="12"/>
      <c r="B230" s="15"/>
      <c r="C230" s="17"/>
      <c r="D230" s="13"/>
      <c r="E230" s="13"/>
      <c r="F230" s="13"/>
      <c r="G230" s="15"/>
      <c r="H230" s="15"/>
      <c r="I230" s="16">
        <f>IF(C230="",0,IF(OR(A230="",A230="DNS"),0,IF(A230="DNF",1,IF(ISNUMBER(A230),IF($I$208="J",IF(A230&lt;=11,VLOOKUP(A230,Punten!$A$2:$C$31,3,FALSE()),1),IF(A230&lt;=30,VLOOKUP(A230,Punten!$A$2:$C$31,2,FALSE()),1)),0))))</f>
        <v>0</v>
      </c>
    </row>
    <row r="231" spans="1:9" x14ac:dyDescent="0.25">
      <c r="A231" s="12"/>
      <c r="B231" s="15"/>
      <c r="C231" s="17"/>
      <c r="D231" s="13"/>
      <c r="E231" s="13"/>
      <c r="F231" s="13"/>
      <c r="G231" s="15"/>
      <c r="H231" s="15"/>
      <c r="I231" s="16">
        <f>IF(C231="",0,IF(OR(A231="",A231="DNS"),0,IF(A231="DNF",1,IF(ISNUMBER(A231),IF($I$208="J",IF(A231&lt;=11,VLOOKUP(A231,Punten!$A$2:$C$31,3,FALSE()),1),IF(A231&lt;=30,VLOOKUP(A231,Punten!$A$2:$C$31,2,FALSE()),1)),0))))</f>
        <v>0</v>
      </c>
    </row>
    <row r="232" spans="1:9" x14ac:dyDescent="0.25">
      <c r="A232" s="12"/>
      <c r="B232" s="15"/>
      <c r="C232" s="17"/>
      <c r="D232" s="13"/>
      <c r="E232" s="13"/>
      <c r="F232" s="13"/>
      <c r="G232" s="15"/>
      <c r="H232" s="15"/>
      <c r="I232" s="16">
        <f>IF(C232="",0,IF(OR(A232="",A232="DNS"),0,IF(A232="DNF",1,IF(ISNUMBER(A232),IF($I$208="J",IF(A232&lt;=11,VLOOKUP(A232,Punten!$A$2:$C$31,3,FALSE()),1),IF(A232&lt;=30,VLOOKUP(A232,Punten!$A$2:$C$31,2,FALSE()),1)),0))))</f>
        <v>0</v>
      </c>
    </row>
    <row r="233" spans="1:9" x14ac:dyDescent="0.25">
      <c r="A233" s="12"/>
      <c r="B233" s="15"/>
      <c r="C233" s="17"/>
      <c r="D233" s="13"/>
      <c r="E233" s="13"/>
      <c r="F233" s="13"/>
      <c r="G233" s="15"/>
      <c r="H233" s="15"/>
      <c r="I233" s="16">
        <f>IF(C233="",0,IF(OR(A233="",A233="DNS"),0,IF(A233="DNF",1,IF(ISNUMBER(A233),IF($I$208="J",IF(A233&lt;=11,VLOOKUP(A233,Punten!$A$2:$C$31,3,FALSE()),1),IF(A233&lt;=30,VLOOKUP(A233,Punten!$A$2:$C$31,2,FALSE()),1)),0))))</f>
        <v>0</v>
      </c>
    </row>
    <row r="234" spans="1:9" x14ac:dyDescent="0.25">
      <c r="A234" s="12"/>
      <c r="B234" s="15"/>
      <c r="C234" s="17"/>
      <c r="D234" s="13"/>
      <c r="E234" s="13"/>
      <c r="F234" s="13"/>
      <c r="G234" s="15"/>
      <c r="H234" s="15"/>
      <c r="I234" s="16">
        <f>IF(C234="",0,IF(OR(A234="",A234="DNS"),0,IF(A234="DNF",1,IF(ISNUMBER(A234),IF($I$208="J",IF(A234&lt;=11,VLOOKUP(A234,Punten!$A$2:$C$31,3,FALSE()),1),IF(A234&lt;=30,VLOOKUP(A234,Punten!$A$2:$C$31,2,FALSE()),1)),0))))</f>
        <v>0</v>
      </c>
    </row>
    <row r="235" spans="1:9" x14ac:dyDescent="0.25">
      <c r="A235" s="12"/>
      <c r="B235" s="15"/>
      <c r="C235" s="17"/>
      <c r="D235" s="13"/>
      <c r="E235" s="13"/>
      <c r="F235" s="13"/>
      <c r="G235" s="15"/>
      <c r="H235" s="15"/>
      <c r="I235" s="16">
        <f>IF(C235="",0,IF(OR(A235="",A235="DNS"),0,IF(A235="DNF",1,IF(ISNUMBER(A235),IF($I$208="J",IF(A235&lt;=11,VLOOKUP(A235,Punten!$A$2:$C$31,3,FALSE()),1),IF(A235&lt;=30,VLOOKUP(A235,Punten!$A$2:$C$31,2,FALSE()),1)),0))))</f>
        <v>0</v>
      </c>
    </row>
    <row r="236" spans="1:9" x14ac:dyDescent="0.25">
      <c r="A236" s="12"/>
      <c r="B236" s="15"/>
      <c r="C236" s="17"/>
      <c r="D236" s="13"/>
      <c r="E236" s="13"/>
      <c r="F236" s="13"/>
      <c r="G236" s="15"/>
      <c r="H236" s="15"/>
      <c r="I236" s="16">
        <f>IF(C236="",0,IF(OR(A236="",A236="DNS"),0,IF(A236="DNF",1,IF(ISNUMBER(A236),IF($I$208="J",IF(A236&lt;=11,VLOOKUP(A236,Punten!$A$2:$C$31,3,FALSE()),1),IF(A236&lt;=30,VLOOKUP(A236,Punten!$A$2:$C$31,2,FALSE()),1)),0))))</f>
        <v>0</v>
      </c>
    </row>
    <row r="237" spans="1:9" x14ac:dyDescent="0.25">
      <c r="A237" s="12"/>
      <c r="B237" s="15"/>
      <c r="C237" s="17"/>
      <c r="D237" s="13"/>
      <c r="E237" s="13"/>
      <c r="F237" s="13"/>
      <c r="G237" s="15"/>
      <c r="H237" s="15"/>
      <c r="I237" s="16">
        <f>IF(C237="",0,IF(OR(A237="",A237="DNS"),0,IF(A237="DNF",1,IF(ISNUMBER(A237),IF($I$208="J",IF(A237&lt;=11,VLOOKUP(A237,Punten!$A$2:$C$31,3,FALSE()),1),IF(A237&lt;=30,VLOOKUP(A237,Punten!$A$2:$C$31,2,FALSE()),1)),0))))</f>
        <v>0</v>
      </c>
    </row>
    <row r="238" spans="1:9" x14ac:dyDescent="0.25">
      <c r="A238" s="12"/>
      <c r="B238" s="15"/>
      <c r="C238" s="17"/>
      <c r="D238" s="13"/>
      <c r="E238" s="13"/>
      <c r="F238" s="13"/>
      <c r="G238" s="15"/>
      <c r="H238" s="15"/>
      <c r="I238" s="16">
        <f>IF(C238="",0,IF(OR(A238="",A238="DNS"),0,IF(A238="DNF",1,IF(ISNUMBER(A238),IF($I$208="J",IF(A238&lt;=11,VLOOKUP(A238,Punten!$A$2:$C$31,3,FALSE()),1),IF(A238&lt;=30,VLOOKUP(A238,Punten!$A$2:$C$31,2,FALSE()),1)),0))))</f>
        <v>0</v>
      </c>
    </row>
    <row r="239" spans="1:9" x14ac:dyDescent="0.25">
      <c r="A239" s="12"/>
      <c r="B239" s="15"/>
      <c r="C239" s="17"/>
      <c r="D239" s="13"/>
      <c r="E239" s="13"/>
      <c r="F239" s="13"/>
      <c r="G239" s="15"/>
      <c r="H239" s="15"/>
      <c r="I239" s="16">
        <f>IF(C239="",0,IF(OR(A239="",A239="DNS"),0,IF(A239="DNF",1,IF(ISNUMBER(A239),IF($I$208="J",IF(A239&lt;=11,VLOOKUP(A239,Punten!$A$2:$C$31,3,FALSE()),1),IF(A239&lt;=30,VLOOKUP(A239,Punten!$A$2:$C$31,2,FALSE()),1)),0))))</f>
        <v>0</v>
      </c>
    </row>
    <row r="240" spans="1:9" x14ac:dyDescent="0.25">
      <c r="A240" s="12"/>
      <c r="B240" s="15"/>
      <c r="C240" s="17"/>
      <c r="D240" s="13"/>
      <c r="E240" s="13"/>
      <c r="F240" s="13"/>
      <c r="G240" s="15"/>
      <c r="H240" s="15"/>
      <c r="I240" s="16">
        <f>IF(C240="",0,IF(OR(A240="",A240="DNS"),0,IF(A240="DNF",1,IF(ISNUMBER(A240),IF($I$208="J",IF(A240&lt;=11,VLOOKUP(A240,Punten!$A$2:$C$31,3,FALSE()),1),IF(A240&lt;=30,VLOOKUP(A240,Punten!$A$2:$C$31,2,FALSE()),1)),0))))</f>
        <v>0</v>
      </c>
    </row>
    <row r="241" spans="1:9" x14ac:dyDescent="0.25">
      <c r="A241" s="12"/>
      <c r="B241" s="15"/>
      <c r="C241" s="17"/>
      <c r="D241" s="13"/>
      <c r="E241" s="13"/>
      <c r="F241" s="13"/>
      <c r="G241" s="15"/>
      <c r="H241" s="15"/>
      <c r="I241" s="16">
        <f>IF(C241="",0,IF(OR(A241="",A241="DNS"),0,IF(A241="DNF",1,IF(ISNUMBER(A241),IF($I$208="J",IF(A241&lt;=11,VLOOKUP(A241,Punten!$A$2:$C$31,3,FALSE()),1),IF(A241&lt;=30,VLOOKUP(A241,Punten!$A$2:$C$31,2,FALSE()),1)),0))))</f>
        <v>0</v>
      </c>
    </row>
    <row r="242" spans="1:9" x14ac:dyDescent="0.25">
      <c r="A242" s="12"/>
      <c r="B242" s="15"/>
      <c r="C242" s="17"/>
      <c r="D242" s="13"/>
      <c r="E242" s="13"/>
      <c r="F242" s="13"/>
      <c r="G242" s="15"/>
      <c r="H242" s="15"/>
      <c r="I242" s="16">
        <f>IF(C242="",0,IF(OR(A242="",A242="DNS"),0,IF(A242="DNF",1,IF(ISNUMBER(A242),IF($I$208="J",IF(A242&lt;=11,VLOOKUP(A242,Punten!$A$2:$C$31,3,FALSE()),1),IF(A242&lt;=30,VLOOKUP(A242,Punten!$A$2:$C$31,2,FALSE()),1)),0))))</f>
        <v>0</v>
      </c>
    </row>
    <row r="243" spans="1:9" x14ac:dyDescent="0.25">
      <c r="A243" s="12"/>
      <c r="B243" s="15"/>
      <c r="C243" s="17"/>
      <c r="D243" s="13"/>
      <c r="E243" s="13"/>
      <c r="F243" s="13"/>
      <c r="G243" s="15"/>
      <c r="H243" s="15"/>
      <c r="I243" s="16">
        <f>IF(C243="",0,IF(OR(A243="",A243="DNS"),0,IF(A243="DNF",1,IF(ISNUMBER(A243),IF($I$208="J",IF(A243&lt;=11,VLOOKUP(A243,Punten!$A$2:$C$31,3,FALSE()),1),IF(A243&lt;=30,VLOOKUP(A243,Punten!$A$2:$C$31,2,FALSE()),1)),0))))</f>
        <v>0</v>
      </c>
    </row>
    <row r="244" spans="1:9" x14ac:dyDescent="0.25">
      <c r="A244" s="12"/>
      <c r="B244" s="15"/>
      <c r="C244" s="17"/>
      <c r="D244" s="13"/>
      <c r="E244" s="13"/>
      <c r="F244" s="13"/>
      <c r="G244" s="15"/>
      <c r="H244" s="15"/>
      <c r="I244" s="16">
        <f>IF(C244="",0,IF(OR(A244="",A244="DNS"),0,IF(A244="DNF",1,IF(ISNUMBER(A244),IF($I$208="J",IF(A244&lt;=11,VLOOKUP(A244,Punten!$A$2:$C$31,3,FALSE()),1),IF(A244&lt;=30,VLOOKUP(A244,Punten!$A$2:$C$31,2,FALSE()),1)),0))))</f>
        <v>0</v>
      </c>
    </row>
    <row r="245" spans="1:9" x14ac:dyDescent="0.25">
      <c r="A245" s="12"/>
      <c r="B245" s="15"/>
      <c r="C245" s="17"/>
      <c r="D245" s="13"/>
      <c r="E245" s="13"/>
      <c r="F245" s="13"/>
      <c r="G245" s="15"/>
      <c r="H245" s="15"/>
      <c r="I245" s="16">
        <f>IF(C245="",0,IF(OR(A245="",A245="DNS"),0,IF(A245="DNF",1,IF(ISNUMBER(A245),IF($I$208="J",IF(A245&lt;=11,VLOOKUP(A245,Punten!$A$2:$C$31,3,FALSE()),1),IF(A245&lt;=30,VLOOKUP(A245,Punten!$A$2:$C$31,2,FALSE()),1)),0))))</f>
        <v>0</v>
      </c>
    </row>
    <row r="246" spans="1:9" x14ac:dyDescent="0.25">
      <c r="A246" s="12"/>
      <c r="B246" s="15"/>
      <c r="C246" s="17"/>
      <c r="D246" s="13"/>
      <c r="E246" s="13"/>
      <c r="F246" s="13"/>
      <c r="G246" s="15"/>
      <c r="H246" s="15"/>
      <c r="I246" s="16">
        <f>IF(C246="",0,IF(OR(A246="",A246="DNS"),0,IF(A246="DNF",1,IF(ISNUMBER(A246),IF($I$208="J",IF(A246&lt;=11,VLOOKUP(A246,Punten!$A$2:$C$31,3,FALSE()),1),IF(A246&lt;=30,VLOOKUP(A246,Punten!$A$2:$C$31,2,FALSE()),1)),0))))</f>
        <v>0</v>
      </c>
    </row>
    <row r="247" spans="1:9" x14ac:dyDescent="0.25">
      <c r="A247" s="12"/>
      <c r="B247" s="15"/>
      <c r="C247" s="17"/>
      <c r="D247" s="13"/>
      <c r="E247" s="13"/>
      <c r="F247" s="13"/>
      <c r="G247" s="15"/>
      <c r="H247" s="15"/>
      <c r="I247" s="16">
        <f>IF(C247="",0,IF(OR(A247="",A247="DNS"),0,IF(A247="DNF",1,IF(ISNUMBER(A247),IF($I$208="J",IF(A247&lt;=11,VLOOKUP(A247,Punten!$A$2:$C$31,3,FALSE()),1),IF(A247&lt;=30,VLOOKUP(A247,Punten!$A$2:$C$31,2,FALSE()),1)),0))))</f>
        <v>0</v>
      </c>
    </row>
    <row r="248" spans="1:9" x14ac:dyDescent="0.25">
      <c r="A248" s="12"/>
      <c r="B248" s="15"/>
      <c r="C248" s="17"/>
      <c r="D248" s="13"/>
      <c r="E248" s="13"/>
      <c r="F248" s="13"/>
      <c r="G248" s="15"/>
      <c r="H248" s="15"/>
      <c r="I248" s="16">
        <f>IF(C248="",0,IF(OR(A248="",A248="DNS"),0,IF(A248="DNF",1,IF(ISNUMBER(A248),IF($I$208="J",IF(A248&lt;=11,VLOOKUP(A248,Punten!$A$2:$C$31,3,FALSE()),1),IF(A248&lt;=30,VLOOKUP(A248,Punten!$A$2:$C$31,2,FALSE()),1)),0))))</f>
        <v>0</v>
      </c>
    </row>
    <row r="249" spans="1:9" x14ac:dyDescent="0.25">
      <c r="A249" s="12"/>
      <c r="B249" s="15"/>
      <c r="C249" s="17"/>
      <c r="D249" s="13"/>
      <c r="E249" s="13"/>
      <c r="F249" s="13"/>
      <c r="G249" s="15"/>
      <c r="H249" s="15"/>
      <c r="I249" s="16">
        <f>IF(C249="",0,IF(OR(A249="",A249="DNS"),0,IF(A249="DNF",1,IF(ISNUMBER(A249),IF($I$208="J",IF(A249&lt;=11,VLOOKUP(A249,Punten!$A$2:$C$31,3,FALSE()),1),IF(A249&lt;=30,VLOOKUP(A249,Punten!$A$2:$C$31,2,FALSE()),1)),0))))</f>
        <v>0</v>
      </c>
    </row>
    <row r="250" spans="1:9" x14ac:dyDescent="0.25">
      <c r="A250" s="12"/>
      <c r="B250" s="15"/>
      <c r="C250" s="17"/>
      <c r="D250" s="13"/>
      <c r="E250" s="13"/>
      <c r="F250" s="13"/>
      <c r="G250" s="15"/>
      <c r="H250" s="15"/>
      <c r="I250" s="16">
        <f>IF(C250="",0,IF(OR(A250="",A250="DNS"),0,IF(A250="DNF",1,IF(ISNUMBER(A250),IF($I$208="J",IF(A250&lt;=11,VLOOKUP(A250,Punten!$A$2:$C$31,3,FALSE()),1),IF(A250&lt;=30,VLOOKUP(A250,Punten!$A$2:$C$31,2,FALSE()),1)),0))))</f>
        <v>0</v>
      </c>
    </row>
    <row r="251" spans="1:9" x14ac:dyDescent="0.25">
      <c r="A251" s="12"/>
      <c r="B251" s="15"/>
      <c r="C251" s="17"/>
      <c r="D251" s="13"/>
      <c r="E251" s="13"/>
      <c r="F251" s="13"/>
      <c r="G251" s="15"/>
      <c r="H251" s="15"/>
      <c r="I251" s="16">
        <f>IF(C251="",0,IF(OR(A251="",A251="DNS"),0,IF(A251="DNF",1,IF(ISNUMBER(A251),IF($I$208="J",IF(A251&lt;=11,VLOOKUP(A251,Punten!$A$2:$C$31,3,FALSE()),1),IF(A251&lt;=30,VLOOKUP(A251,Punten!$A$2:$C$31,2,FALSE()),1)),0))))</f>
        <v>0</v>
      </c>
    </row>
    <row r="252" spans="1:9" x14ac:dyDescent="0.25">
      <c r="A252" s="12"/>
      <c r="B252" s="15"/>
      <c r="C252" s="17"/>
      <c r="D252" s="13"/>
      <c r="E252" s="13"/>
      <c r="F252" s="13"/>
      <c r="G252" s="15"/>
      <c r="H252" s="15"/>
      <c r="I252" s="16">
        <f>IF(C252="",0,IF(OR(A252="",A252="DNS"),0,IF(A252="DNF",1,IF(ISNUMBER(A252),IF($I$208="J",IF(A252&lt;=11,VLOOKUP(A252,Punten!$A$2:$C$31,3,FALSE()),1),IF(A252&lt;=30,VLOOKUP(A252,Punten!$A$2:$C$31,2,FALSE()),1)),0))))</f>
        <v>0</v>
      </c>
    </row>
    <row r="253" spans="1:9" x14ac:dyDescent="0.25">
      <c r="A253" s="12"/>
      <c r="B253" s="15"/>
      <c r="C253" s="17"/>
      <c r="D253" s="13"/>
      <c r="E253" s="13"/>
      <c r="F253" s="13"/>
      <c r="G253" s="15"/>
      <c r="H253" s="15"/>
      <c r="I253" s="16">
        <f>IF(C253="",0,IF(OR(A253="",A253="DNS"),0,IF(A253="DNF",1,IF(ISNUMBER(A253),IF($I$208="J",IF(A253&lt;=11,VLOOKUP(A253,Punten!$A$2:$C$31,3,FALSE()),1),IF(A253&lt;=30,VLOOKUP(A253,Punten!$A$2:$C$31,2,FALSE()),1)),0))))</f>
        <v>0</v>
      </c>
    </row>
    <row r="254" spans="1:9" x14ac:dyDescent="0.25">
      <c r="A254" s="12"/>
      <c r="B254" s="15"/>
      <c r="C254" s="17"/>
      <c r="D254" s="13"/>
      <c r="E254" s="13"/>
      <c r="F254" s="13"/>
      <c r="G254" s="15"/>
      <c r="H254" s="15"/>
      <c r="I254" s="16">
        <f>IF(C254="",0,IF(OR(A254="",A254="DNS"),0,IF(A254="DNF",1,IF(ISNUMBER(A254),IF($I$208="J",IF(A254&lt;=11,VLOOKUP(A254,Punten!$A$2:$C$31,3,FALSE()),1),IF(A254&lt;=30,VLOOKUP(A254,Punten!$A$2:$C$31,2,FALSE()),1)),0))))</f>
        <v>0</v>
      </c>
    </row>
    <row r="255" spans="1:9" x14ac:dyDescent="0.25">
      <c r="A255" s="12"/>
      <c r="B255" s="15"/>
      <c r="C255" s="17"/>
      <c r="D255" s="13"/>
      <c r="E255" s="13"/>
      <c r="F255" s="13"/>
      <c r="G255" s="15"/>
      <c r="H255" s="15"/>
      <c r="I255" s="16">
        <f>IF(C255="",0,IF(OR(A255="",A255="DNS"),0,IF(A255="DNF",1,IF(ISNUMBER(A255),IF($I$208="J",IF(A255&lt;=11,VLOOKUP(A255,Punten!$A$2:$C$31,3,FALSE()),1),IF(A255&lt;=30,VLOOKUP(A255,Punten!$A$2:$C$31,2,FALSE()),1)),0))))</f>
        <v>0</v>
      </c>
    </row>
    <row r="256" spans="1:9" x14ac:dyDescent="0.25">
      <c r="A256" s="12"/>
      <c r="B256" s="15"/>
      <c r="C256" s="17"/>
      <c r="D256" s="13"/>
      <c r="E256" s="13"/>
      <c r="F256" s="13"/>
      <c r="G256" s="15"/>
      <c r="H256" s="15"/>
      <c r="I256" s="16">
        <f>IF(C256="",0,IF(OR(A256="",A256="DNS"),0,IF(A256="DNF",1,IF(ISNUMBER(A256),IF($I$208="J",IF(A256&lt;=11,VLOOKUP(A256,Punten!$A$2:$C$31,3,FALSE()),1),IF(A256&lt;=30,VLOOKUP(A256,Punten!$A$2:$C$31,2,FALSE()),1)),0))))</f>
        <v>0</v>
      </c>
    </row>
    <row r="257" spans="1:9" x14ac:dyDescent="0.25">
      <c r="A257" s="12"/>
      <c r="B257" s="15"/>
      <c r="C257" s="17"/>
      <c r="D257" s="13"/>
      <c r="E257" s="13"/>
      <c r="F257" s="13"/>
      <c r="G257" s="15"/>
      <c r="H257" s="15"/>
      <c r="I257" s="16">
        <f>IF(C257="",0,IF(OR(A257="",A257="DNS"),0,IF(A257="DNF",1,IF(ISNUMBER(A257),IF($I$208="J",IF(A257&lt;=11,VLOOKUP(A257,Punten!$A$2:$C$31,3,FALSE()),1),IF(A257&lt;=30,VLOOKUP(A257,Punten!$A$2:$C$31,2,FALSE()),1)),0))))</f>
        <v>0</v>
      </c>
    </row>
    <row r="258" spans="1:9" x14ac:dyDescent="0.25">
      <c r="A258" s="12"/>
      <c r="B258" s="15"/>
      <c r="C258" s="17"/>
      <c r="D258" s="13"/>
      <c r="E258" s="13"/>
      <c r="F258" s="13"/>
      <c r="G258" s="15"/>
      <c r="H258" s="15"/>
      <c r="I258" s="16">
        <f>IF(C258="",0,IF(OR(A258="",A258="DNS"),0,IF(A258="DNF",1,IF(ISNUMBER(A258),IF($I$208="J",IF(A258&lt;=11,VLOOKUP(A258,Punten!$A$2:$C$31,3,FALSE()),1),IF(A258&lt;=30,VLOOKUP(A258,Punten!$A$2:$C$31,2,FALSE()),1)),0))))</f>
        <v>0</v>
      </c>
    </row>
    <row r="259" spans="1:9" x14ac:dyDescent="0.25">
      <c r="A259" s="12"/>
      <c r="B259" s="15"/>
      <c r="C259" s="17"/>
      <c r="D259" s="13"/>
      <c r="E259" s="13"/>
      <c r="F259" s="13"/>
      <c r="G259" s="15"/>
      <c r="H259" s="15"/>
      <c r="I259" s="16">
        <f>IF(C259="",0,IF(OR(A259="",A259="DNS"),0,IF(A259="DNF",1,IF(ISNUMBER(A259),IF($I$208="J",IF(A259&lt;=11,VLOOKUP(A259,Punten!$A$2:$C$31,3,FALSE()),1),IF(A259&lt;=30,VLOOKUP(A259,Punten!$A$2:$C$31,2,FALSE()),1)),0))))</f>
        <v>0</v>
      </c>
    </row>
    <row r="260" spans="1:9" x14ac:dyDescent="0.25">
      <c r="A260" s="12"/>
      <c r="B260" s="15"/>
      <c r="C260" s="17"/>
      <c r="D260" s="13"/>
      <c r="E260" s="13"/>
      <c r="F260" s="13"/>
      <c r="G260" s="15"/>
      <c r="H260" s="15"/>
      <c r="I260" s="16">
        <f>IF(C260="",0,IF(OR(A260="",A260="DNS"),0,IF(A260="DNF",1,IF(ISNUMBER(A260),IF($I$208="J",IF(A260&lt;=11,VLOOKUP(A260,Punten!$A$2:$C$31,3,FALSE()),1),IF(A260&lt;=30,VLOOKUP(A260,Punten!$A$2:$C$31,2,FALSE()),1)),0))))</f>
        <v>0</v>
      </c>
    </row>
    <row r="261" spans="1:9" x14ac:dyDescent="0.25">
      <c r="A261" s="12"/>
      <c r="B261" s="15"/>
      <c r="C261" s="17"/>
      <c r="D261" s="13"/>
      <c r="E261" s="13"/>
      <c r="F261" s="13"/>
      <c r="G261" s="15"/>
      <c r="H261" s="15"/>
      <c r="I261" s="16">
        <f>IF(C261="",0,IF(OR(A261="",A261="DNS"),0,IF(A261="DNF",1,IF(ISNUMBER(A261),IF($I$208="J",IF(A261&lt;=11,VLOOKUP(A261,Punten!$A$2:$C$31,3,FALSE()),1),IF(A261&lt;=30,VLOOKUP(A261,Punten!$A$2:$C$31,2,FALSE()),1)),0))))</f>
        <v>0</v>
      </c>
    </row>
    <row r="262" spans="1:9" x14ac:dyDescent="0.25">
      <c r="A262" s="12"/>
      <c r="B262" s="15"/>
      <c r="C262" s="17"/>
      <c r="D262" s="13"/>
      <c r="E262" s="13"/>
      <c r="F262" s="13"/>
      <c r="G262" s="15"/>
      <c r="H262" s="15"/>
      <c r="I262" s="16">
        <f>IF(C262="",0,IF(OR(A262="",A262="DNS"),0,IF(A262="DNF",1,IF(ISNUMBER(A262),IF($I$208="J",IF(A262&lt;=11,VLOOKUP(A262,Punten!$A$2:$C$31,3,FALSE()),1),IF(A262&lt;=30,VLOOKUP(A262,Punten!$A$2:$C$31,2,FALSE()),1)),0))))</f>
        <v>0</v>
      </c>
    </row>
    <row r="263" spans="1:9" x14ac:dyDescent="0.25">
      <c r="A263" s="12"/>
      <c r="B263" s="15"/>
      <c r="C263" s="17"/>
      <c r="D263" s="13"/>
      <c r="E263" s="13"/>
      <c r="F263" s="13"/>
      <c r="G263" s="15"/>
      <c r="H263" s="15"/>
      <c r="I263" s="16">
        <f>IF(C263="",0,IF(OR(A263="",A263="DNS"),0,IF(A263="DNF",1,IF(ISNUMBER(A263),IF($I$208="J",IF(A263&lt;=11,VLOOKUP(A263,Punten!$A$2:$C$31,3,FALSE()),1),IF(A263&lt;=30,VLOOKUP(A263,Punten!$A$2:$C$31,2,FALSE()),1)),0))))</f>
        <v>0</v>
      </c>
    </row>
    <row r="264" spans="1:9" x14ac:dyDescent="0.25">
      <c r="A264" s="12"/>
      <c r="B264" s="15"/>
      <c r="C264" s="17"/>
      <c r="D264" s="13"/>
      <c r="E264" s="13"/>
      <c r="F264" s="13"/>
      <c r="G264" s="15"/>
      <c r="H264" s="15"/>
      <c r="I264" s="16">
        <f>IF(C264="",0,IF(OR(A264="",A264="DNS"),0,IF(A264="DNF",1,IF(ISNUMBER(A264),IF($I$208="J",IF(A264&lt;=11,VLOOKUP(A264,Punten!$A$2:$C$31,3,FALSE()),1),IF(A264&lt;=30,VLOOKUP(A264,Punten!$A$2:$C$31,2,FALSE()),1)),0))))</f>
        <v>0</v>
      </c>
    </row>
    <row r="265" spans="1:9" x14ac:dyDescent="0.25">
      <c r="A265" s="12"/>
      <c r="B265" s="15"/>
      <c r="C265" s="17"/>
      <c r="D265" s="13"/>
      <c r="E265" s="13"/>
      <c r="F265" s="13"/>
      <c r="G265" s="15"/>
      <c r="H265" s="15"/>
      <c r="I265" s="16">
        <f>IF(C265="",0,IF(OR(A265="",A265="DNS"),0,IF(A265="DNF",1,IF(ISNUMBER(A265),IF($I$208="J",IF(A265&lt;=11,VLOOKUP(A265,Punten!$A$2:$C$31,3,FALSE()),1),IF(A265&lt;=30,VLOOKUP(A265,Punten!$A$2:$C$31,2,FALSE()),1)),0))))</f>
        <v>0</v>
      </c>
    </row>
    <row r="266" spans="1:9" x14ac:dyDescent="0.25">
      <c r="A266" s="12"/>
      <c r="B266" s="15"/>
      <c r="C266" s="17"/>
      <c r="D266" s="13"/>
      <c r="E266" s="13"/>
      <c r="F266" s="13"/>
      <c r="G266" s="15"/>
      <c r="H266" s="15"/>
      <c r="I266" s="16">
        <f>IF(C266="",0,IF(OR(A266="",A266="DNS"),0,IF(A266="DNF",1,IF(ISNUMBER(A266),IF($I$208="J",IF(A266&lt;=11,VLOOKUP(A266,Punten!$A$2:$C$31,3,FALSE()),1),IF(A266&lt;=30,VLOOKUP(A266,Punten!$A$2:$C$31,2,FALSE()),1)),0))))</f>
        <v>0</v>
      </c>
    </row>
    <row r="267" spans="1:9" x14ac:dyDescent="0.25">
      <c r="A267" s="12"/>
      <c r="B267" s="15"/>
      <c r="C267" s="17"/>
      <c r="D267" s="13"/>
      <c r="E267" s="13"/>
      <c r="F267" s="13"/>
      <c r="G267" s="15"/>
      <c r="H267" s="15"/>
      <c r="I267" s="16">
        <f>IF(C267="",0,IF(OR(A267="",A267="DNS"),0,IF(A267="DNF",1,IF(ISNUMBER(A267),IF($I$208="J",IF(A267&lt;=11,VLOOKUP(A267,Punten!$A$2:$C$31,3,FALSE()),1),IF(A267&lt;=30,VLOOKUP(A267,Punten!$A$2:$C$31,2,FALSE()),1)),0))))</f>
        <v>0</v>
      </c>
    </row>
    <row r="268" spans="1:9" x14ac:dyDescent="0.25">
      <c r="A268" s="12"/>
      <c r="B268" s="15"/>
      <c r="C268" s="17"/>
      <c r="D268" s="13"/>
      <c r="E268" s="13"/>
      <c r="F268" s="13"/>
      <c r="G268" s="15"/>
      <c r="H268" s="15"/>
      <c r="I268" s="16">
        <f>IF(C268="",0,IF(OR(A268="",A268="DNS"),0,IF(A268="DNF",1,IF(ISNUMBER(A268),IF($I$208="J",IF(A268&lt;=11,VLOOKUP(A268,Punten!$A$2:$C$31,3,FALSE()),1),IF(A268&lt;=30,VLOOKUP(A268,Punten!$A$2:$C$31,2,FALSE()),1)),0))))</f>
        <v>0</v>
      </c>
    </row>
    <row r="269" spans="1:9" x14ac:dyDescent="0.25">
      <c r="A269" s="12"/>
      <c r="B269" s="15"/>
      <c r="C269" s="17"/>
      <c r="D269" s="13"/>
      <c r="E269" s="13"/>
      <c r="F269" s="13"/>
      <c r="G269" s="15"/>
      <c r="H269" s="15"/>
      <c r="I269" s="16">
        <f>IF(C269="",0,IF(OR(A269="",A269="DNS"),0,IF(A269="DNF",1,IF(ISNUMBER(A269),IF($I$208="J",IF(A269&lt;=11,VLOOKUP(A269,Punten!$A$2:$C$31,3,FALSE()),1),IF(A269&lt;=30,VLOOKUP(A269,Punten!$A$2:$C$31,2,FALSE()),1)),0))))</f>
        <v>0</v>
      </c>
    </row>
    <row r="270" spans="1:9" x14ac:dyDescent="0.25">
      <c r="A270" s="12"/>
      <c r="B270" s="15"/>
      <c r="C270" s="17"/>
      <c r="D270" s="13"/>
      <c r="E270" s="13"/>
      <c r="F270" s="13"/>
      <c r="G270" s="15"/>
      <c r="H270" s="15"/>
      <c r="I270" s="16">
        <f>IF(C270="",0,IF(OR(A270="",A270="DNS"),0,IF(A270="DNF",1,IF(ISNUMBER(A270),IF($I$208="J",IF(A270&lt;=11,VLOOKUP(A270,Punten!$A$2:$C$31,3,FALSE()),1),IF(A270&lt;=30,VLOOKUP(A270,Punten!$A$2:$C$31,2,FALSE()),1)),0))))</f>
        <v>0</v>
      </c>
    </row>
    <row r="271" spans="1:9" x14ac:dyDescent="0.25">
      <c r="A271" s="12"/>
      <c r="B271" s="15"/>
      <c r="C271" s="17"/>
      <c r="D271" s="13"/>
      <c r="E271" s="13"/>
      <c r="F271" s="13"/>
      <c r="G271" s="15"/>
      <c r="H271" s="15"/>
      <c r="I271" s="16">
        <f>IF(C271="",0,IF(OR(A271="",A271="DNS"),0,IF(A271="DNF",1,IF(ISNUMBER(A271),IF($I$208="J",IF(A271&lt;=11,VLOOKUP(A271,Punten!$A$2:$C$31,3,FALSE()),1),IF(A271&lt;=30,VLOOKUP(A271,Punten!$A$2:$C$31,2,FALSE()),1)),0))))</f>
        <v>0</v>
      </c>
    </row>
    <row r="272" spans="1:9" x14ac:dyDescent="0.25">
      <c r="A272" s="12"/>
      <c r="B272" s="15"/>
      <c r="C272" s="17"/>
      <c r="D272" s="13"/>
      <c r="E272" s="13"/>
      <c r="F272" s="13"/>
      <c r="G272" s="15"/>
      <c r="H272" s="15"/>
      <c r="I272" s="16">
        <f>IF(C272="",0,IF(OR(A272="",A272="DNS"),0,IF(A272="DNF",1,IF(ISNUMBER(A272),IF($I$208="J",IF(A272&lt;=11,VLOOKUP(A272,Punten!$A$2:$C$31,3,FALSE()),1),IF(A272&lt;=30,VLOOKUP(A272,Punten!$A$2:$C$31,2,FALSE()),1)),0))))</f>
        <v>0</v>
      </c>
    </row>
    <row r="273" spans="1:9" x14ac:dyDescent="0.25">
      <c r="A273" s="12"/>
      <c r="B273" s="15"/>
      <c r="C273" s="17"/>
      <c r="D273" s="13"/>
      <c r="E273" s="13"/>
      <c r="F273" s="13"/>
      <c r="G273" s="15"/>
      <c r="H273" s="15"/>
      <c r="I273" s="16">
        <f>IF(C273="",0,IF(OR(A273="",A273="DNS"),0,IF(A273="DNF",1,IF(ISNUMBER(A273),IF($I$208="J",IF(A273&lt;=11,VLOOKUP(A273,Punten!$A$2:$C$31,3,FALSE()),1),IF(A273&lt;=30,VLOOKUP(A273,Punten!$A$2:$C$31,2,FALSE()),1)),0))))</f>
        <v>0</v>
      </c>
    </row>
    <row r="274" spans="1:9" x14ac:dyDescent="0.25">
      <c r="A274" s="12"/>
      <c r="B274" s="15"/>
      <c r="C274" s="17"/>
      <c r="D274" s="13"/>
      <c r="E274" s="13"/>
      <c r="F274" s="13"/>
      <c r="G274" s="15"/>
      <c r="H274" s="15"/>
      <c r="I274" s="16">
        <f>IF(C274="",0,IF(OR(A274="",A274="DNS"),0,IF(A274="DNF",1,IF(ISNUMBER(A274),IF($I$208="J",IF(A274&lt;=11,VLOOKUP(A274,Punten!$A$2:$C$31,3,FALSE()),1),IF(A274&lt;=30,VLOOKUP(A274,Punten!$A$2:$C$31,2,FALSE()),1)),0))))</f>
        <v>0</v>
      </c>
    </row>
    <row r="275" spans="1:9" x14ac:dyDescent="0.25">
      <c r="A275" s="12"/>
      <c r="B275" s="15"/>
      <c r="C275" s="17"/>
      <c r="D275" s="13"/>
      <c r="E275" s="13"/>
      <c r="F275" s="13"/>
      <c r="G275" s="15"/>
      <c r="H275" s="15"/>
      <c r="I275" s="16">
        <f>IF(C275="",0,IF(OR(A275="",A275="DNS"),0,IF(A275="DNF",1,IF(ISNUMBER(A275),IF($I$208="J",IF(A275&lt;=11,VLOOKUP(A275,Punten!$A$2:$C$31,3,FALSE()),1),IF(A275&lt;=30,VLOOKUP(A275,Punten!$A$2:$C$31,2,FALSE()),1)),0))))</f>
        <v>0</v>
      </c>
    </row>
    <row r="276" spans="1:9" x14ac:dyDescent="0.25">
      <c r="A276" s="12"/>
      <c r="B276" s="15"/>
      <c r="C276" s="17"/>
      <c r="D276" s="13"/>
      <c r="E276" s="13"/>
      <c r="F276" s="13"/>
      <c r="G276" s="15"/>
      <c r="H276" s="15"/>
      <c r="I276" s="16">
        <f>IF(C276="",0,IF(OR(A276="",A276="DNS"),0,IF(A276="DNF",1,IF(ISNUMBER(A276),IF($I$208="J",IF(A276&lt;=11,VLOOKUP(A276,Punten!$A$2:$C$31,3,FALSE()),1),IF(A276&lt;=30,VLOOKUP(A276,Punten!$A$2:$C$31,2,FALSE()),1)),0))))</f>
        <v>0</v>
      </c>
    </row>
    <row r="277" spans="1:9" x14ac:dyDescent="0.25">
      <c r="A277" s="12"/>
      <c r="B277" s="15"/>
      <c r="C277" s="17"/>
      <c r="D277" s="13"/>
      <c r="E277" s="13"/>
      <c r="F277" s="13"/>
      <c r="G277" s="15"/>
      <c r="H277" s="15"/>
      <c r="I277" s="16">
        <f>IF(C277="",0,IF(OR(A277="",A277="DNS"),0,IF(A277="DNF",1,IF(ISNUMBER(A277),IF($I$208="J",IF(A277&lt;=11,VLOOKUP(A277,Punten!$A$2:$C$31,3,FALSE()),1),IF(A277&lt;=30,VLOOKUP(A277,Punten!$A$2:$C$31,2,FALSE()),1)),0))))</f>
        <v>0</v>
      </c>
    </row>
    <row r="278" spans="1:9" x14ac:dyDescent="0.25">
      <c r="A278" s="12"/>
      <c r="B278" s="15"/>
      <c r="C278" s="17"/>
      <c r="D278" s="13"/>
      <c r="E278" s="13"/>
      <c r="F278" s="13"/>
      <c r="G278" s="15"/>
      <c r="H278" s="15"/>
      <c r="I278" s="16">
        <f>IF(C278="",0,IF(OR(A278="",A278="DNS"),0,IF(A278="DNF",1,IF(ISNUMBER(A278),IF($I$208="J",IF(A278&lt;=11,VLOOKUP(A278,Punten!$A$2:$C$31,3,FALSE()),1),IF(A278&lt;=30,VLOOKUP(A278,Punten!$A$2:$C$31,2,FALSE()),1)),0))))</f>
        <v>0</v>
      </c>
    </row>
    <row r="279" spans="1:9" x14ac:dyDescent="0.25">
      <c r="A279" s="12"/>
      <c r="B279" s="15"/>
      <c r="C279" s="17"/>
      <c r="D279" s="13"/>
      <c r="E279" s="13"/>
      <c r="F279" s="13"/>
      <c r="G279" s="15"/>
      <c r="H279" s="15"/>
      <c r="I279" s="16">
        <f>IF(C279="",0,IF(OR(A279="",A279="DNS"),0,IF(A279="DNF",1,IF(ISNUMBER(A279),IF($I$208="J",IF(A279&lt;=11,VLOOKUP(A279,Punten!$A$2:$C$31,3,FALSE()),1),IF(A279&lt;=30,VLOOKUP(A279,Punten!$A$2:$C$31,2,FALSE()),1)),0))))</f>
        <v>0</v>
      </c>
    </row>
    <row r="280" spans="1:9" x14ac:dyDescent="0.25">
      <c r="A280" s="12"/>
      <c r="B280" s="15"/>
      <c r="C280" s="17"/>
      <c r="D280" s="13"/>
      <c r="E280" s="13"/>
      <c r="F280" s="13"/>
      <c r="G280" s="15"/>
      <c r="H280" s="15"/>
      <c r="I280" s="16">
        <f>IF(C280="",0,IF(OR(A280="",A280="DNS"),0,IF(A280="DNF",1,IF(ISNUMBER(A280),IF($I$208="J",IF(A280&lt;=11,VLOOKUP(A280,Punten!$A$2:$C$31,3,FALSE()),1),IF(A280&lt;=30,VLOOKUP(A280,Punten!$A$2:$C$31,2,FALSE()),1)),0))))</f>
        <v>0</v>
      </c>
    </row>
    <row r="281" spans="1:9" x14ac:dyDescent="0.25">
      <c r="A281" s="12"/>
      <c r="B281" s="15"/>
      <c r="C281" s="17"/>
      <c r="D281" s="13"/>
      <c r="E281" s="13"/>
      <c r="F281" s="13"/>
      <c r="G281" s="15"/>
      <c r="H281" s="15"/>
      <c r="I281" s="16">
        <f>IF(C281="",0,IF(OR(A281="",A281="DNS"),0,IF(A281="DNF",1,IF(ISNUMBER(A281),IF($I$208="J",IF(A281&lt;=11,VLOOKUP(A281,Punten!$A$2:$C$31,3,FALSE()),1),IF(A281&lt;=30,VLOOKUP(A281,Punten!$A$2:$C$31,2,FALSE()),1)),0))))</f>
        <v>0</v>
      </c>
    </row>
    <row r="282" spans="1:9" x14ac:dyDescent="0.25">
      <c r="A282" s="12"/>
      <c r="B282" s="15"/>
      <c r="C282" s="17"/>
      <c r="D282" s="13"/>
      <c r="E282" s="13"/>
      <c r="F282" s="13"/>
      <c r="G282" s="15"/>
      <c r="H282" s="15"/>
      <c r="I282" s="16">
        <f>IF(C282="",0,IF(OR(A282="",A282="DNS"),0,IF(A282="DNF",1,IF(ISNUMBER(A282),IF($I$208="J",IF(A282&lt;=11,VLOOKUP(A282,Punten!$A$2:$C$31,3,FALSE()),1),IF(A282&lt;=30,VLOOKUP(A282,Punten!$A$2:$C$31,2,FALSE()),1)),0))))</f>
        <v>0</v>
      </c>
    </row>
    <row r="283" spans="1:9" x14ac:dyDescent="0.25">
      <c r="A283" s="12"/>
      <c r="B283" s="15"/>
      <c r="C283" s="17"/>
      <c r="D283" s="13"/>
      <c r="E283" s="13"/>
      <c r="F283" s="13"/>
      <c r="G283" s="15"/>
      <c r="H283" s="15"/>
      <c r="I283" s="16">
        <f>IF(C283="",0,IF(OR(A283="",A283="DNS"),0,IF(A283="DNF",1,IF(ISNUMBER(A283),IF($I$208="J",IF(A283&lt;=11,VLOOKUP(A283,Punten!$A$2:$C$31,3,FALSE()),1),IF(A283&lt;=30,VLOOKUP(A283,Punten!$A$2:$C$31,2,FALSE()),1)),0))))</f>
        <v>0</v>
      </c>
    </row>
    <row r="284" spans="1:9" x14ac:dyDescent="0.25">
      <c r="A284" s="12"/>
      <c r="B284" s="15"/>
      <c r="C284" s="17"/>
      <c r="D284" s="13"/>
      <c r="E284" s="13"/>
      <c r="F284" s="13"/>
      <c r="G284" s="15"/>
      <c r="H284" s="15"/>
      <c r="I284" s="16">
        <f>IF(C284="",0,IF(OR(A284="",A284="DNS"),0,IF(A284="DNF",1,IF(ISNUMBER(A284),IF($I$208="J",IF(A284&lt;=11,VLOOKUP(A284,Punten!$A$2:$C$31,3,FALSE()),1),IF(A284&lt;=30,VLOOKUP(A284,Punten!$A$2:$C$31,2,FALSE()),1)),0))))</f>
        <v>0</v>
      </c>
    </row>
    <row r="285" spans="1:9" x14ac:dyDescent="0.25">
      <c r="A285" s="12"/>
      <c r="B285" s="15"/>
      <c r="C285" s="17"/>
      <c r="D285" s="13"/>
      <c r="E285" s="13"/>
      <c r="F285" s="13"/>
      <c r="G285" s="15"/>
      <c r="H285" s="15"/>
      <c r="I285" s="16">
        <f>IF(C285="",0,IF(OR(A285="",A285="DNS"),0,IF(A285="DNF",1,IF(ISNUMBER(A285),IF($I$208="J",IF(A285&lt;=11,VLOOKUP(A285,Punten!$A$2:$C$31,3,FALSE()),1),IF(A285&lt;=30,VLOOKUP(A285,Punten!$A$2:$C$31,2,FALSE()),1)),0))))</f>
        <v>0</v>
      </c>
    </row>
    <row r="286" spans="1:9" x14ac:dyDescent="0.25">
      <c r="A286" s="12"/>
      <c r="B286" s="15"/>
      <c r="C286" s="17"/>
      <c r="D286" s="13"/>
      <c r="E286" s="13"/>
      <c r="F286" s="13"/>
      <c r="G286" s="15"/>
      <c r="H286" s="15"/>
      <c r="I286" s="16">
        <f>IF(C286="",0,IF(OR(A286="",A286="DNS"),0,IF(A286="DNF",1,IF(ISNUMBER(A286),IF($I$208="J",IF(A286&lt;=11,VLOOKUP(A286,Punten!$A$2:$C$31,3,FALSE()),1),IF(A286&lt;=30,VLOOKUP(A286,Punten!$A$2:$C$31,2,FALSE()),1)),0))))</f>
        <v>0</v>
      </c>
    </row>
    <row r="287" spans="1:9" x14ac:dyDescent="0.25">
      <c r="A287" s="12"/>
      <c r="B287" s="15"/>
      <c r="C287" s="17"/>
      <c r="D287" s="13"/>
      <c r="E287" s="13"/>
      <c r="F287" s="13"/>
      <c r="G287" s="15"/>
      <c r="H287" s="15"/>
      <c r="I287" s="16">
        <f>IF(C287="",0,IF(OR(A287="",A287="DNS"),0,IF(A287="DNF",1,IF(ISNUMBER(A287),IF($I$208="J",IF(A287&lt;=11,VLOOKUP(A287,Punten!$A$2:$C$31,3,FALSE()),1),IF(A287&lt;=30,VLOOKUP(A287,Punten!$A$2:$C$31,2,FALSE()),1)),0))))</f>
        <v>0</v>
      </c>
    </row>
    <row r="288" spans="1:9" x14ac:dyDescent="0.25">
      <c r="A288" s="12"/>
      <c r="B288" s="15"/>
      <c r="C288" s="17"/>
      <c r="D288" s="13"/>
      <c r="E288" s="13"/>
      <c r="F288" s="13"/>
      <c r="G288" s="15"/>
      <c r="H288" s="15"/>
      <c r="I288" s="16">
        <f>IF(C288="",0,IF(OR(A288="",A288="DNS"),0,IF(A288="DNF",1,IF(ISNUMBER(A288),IF($I$208="J",IF(A288&lt;=11,VLOOKUP(A288,Punten!$A$2:$C$31,3,FALSE()),1),IF(A288&lt;=30,VLOOKUP(A288,Punten!$A$2:$C$31,2,FALSE()),1)),0))))</f>
        <v>0</v>
      </c>
    </row>
    <row r="289" spans="1:9" x14ac:dyDescent="0.25">
      <c r="A289" s="12"/>
      <c r="B289" s="15"/>
      <c r="C289" s="17"/>
      <c r="D289" s="13"/>
      <c r="E289" s="13"/>
      <c r="F289" s="13"/>
      <c r="G289" s="15"/>
      <c r="H289" s="15"/>
      <c r="I289" s="16">
        <f>IF(C289="",0,IF(OR(A289="",A289="DNS"),0,IF(A289="DNF",1,IF(ISNUMBER(A289),IF($I$208="J",IF(A289&lt;=11,VLOOKUP(A289,Punten!$A$2:$C$31,3,FALSE()),1),IF(A289&lt;=30,VLOOKUP(A289,Punten!$A$2:$C$31,2,FALSE()),1)),0))))</f>
        <v>0</v>
      </c>
    </row>
    <row r="290" spans="1:9" x14ac:dyDescent="0.25">
      <c r="A290" s="12"/>
      <c r="B290" s="15"/>
      <c r="C290" s="17"/>
      <c r="D290" s="13"/>
      <c r="E290" s="13"/>
      <c r="F290" s="13"/>
      <c r="G290" s="15"/>
      <c r="H290" s="15"/>
      <c r="I290" s="16">
        <f>IF(C290="",0,IF(OR(A290="",A290="DNS"),0,IF(A290="DNF",1,IF(ISNUMBER(A290),IF($I$208="J",IF(A290&lt;=11,VLOOKUP(A290,Punten!$A$2:$C$31,3,FALSE()),1),IF(A290&lt;=30,VLOOKUP(A290,Punten!$A$2:$C$31,2,FALSE()),1)),0))))</f>
        <v>0</v>
      </c>
    </row>
    <row r="291" spans="1:9" x14ac:dyDescent="0.25">
      <c r="A291" s="12"/>
      <c r="B291" s="15"/>
      <c r="C291" s="17"/>
      <c r="D291" s="13"/>
      <c r="E291" s="13"/>
      <c r="F291" s="13"/>
      <c r="G291" s="15"/>
      <c r="H291" s="15"/>
      <c r="I291" s="16">
        <f>IF(C291="",0,IF(OR(A291="",A291="DNS"),0,IF(A291="DNF",1,IF(ISNUMBER(A291),IF($I$208="J",IF(A291&lt;=11,VLOOKUP(A291,Punten!$A$2:$C$31,3,FALSE()),1),IF(A291&lt;=30,VLOOKUP(A291,Punten!$A$2:$C$31,2,FALSE()),1)),0))))</f>
        <v>0</v>
      </c>
    </row>
    <row r="292" spans="1:9" x14ac:dyDescent="0.25">
      <c r="A292" s="12"/>
      <c r="B292" s="15"/>
      <c r="C292" s="17"/>
      <c r="D292" s="13"/>
      <c r="E292" s="13"/>
      <c r="F292" s="13"/>
      <c r="G292" s="15"/>
      <c r="H292" s="15"/>
      <c r="I292" s="16">
        <f>IF(C292="",0,IF(OR(A292="",A292="DNS"),0,IF(A292="DNF",1,IF(ISNUMBER(A292),IF($I$208="J",IF(A292&lt;=11,VLOOKUP(A292,Punten!$A$2:$C$31,3,FALSE()),1),IF(A292&lt;=30,VLOOKUP(A292,Punten!$A$2:$C$31,2,FALSE()),1)),0))))</f>
        <v>0</v>
      </c>
    </row>
    <row r="293" spans="1:9" x14ac:dyDescent="0.25">
      <c r="A293" s="12"/>
      <c r="B293" s="15"/>
      <c r="C293" s="17"/>
      <c r="D293" s="13"/>
      <c r="E293" s="13"/>
      <c r="F293" s="13"/>
      <c r="G293" s="15"/>
      <c r="H293" s="15"/>
      <c r="I293" s="16">
        <f>IF(C293="",0,IF(OR(A293="",A293="DNS"),0,IF(A293="DNF",1,IF(ISNUMBER(A293),IF($I$208="J",IF(A293&lt;=11,VLOOKUP(A293,Punten!$A$2:$C$31,3,FALSE()),1),IF(A293&lt;=30,VLOOKUP(A293,Punten!$A$2:$C$31,2,FALSE()),1)),0))))</f>
        <v>0</v>
      </c>
    </row>
    <row r="294" spans="1:9" x14ac:dyDescent="0.25">
      <c r="A294" s="12"/>
      <c r="B294" s="15"/>
      <c r="C294" s="17"/>
      <c r="D294" s="13"/>
      <c r="E294" s="13"/>
      <c r="F294" s="13"/>
      <c r="G294" s="15"/>
      <c r="H294" s="15"/>
      <c r="I294" s="16">
        <f>IF(C294="",0,IF(OR(A294="",A294="DNS"),0,IF(A294="DNF",1,IF(ISNUMBER(A294),IF($I$208="J",IF(A294&lt;=11,VLOOKUP(A294,Punten!$A$2:$C$31,3,FALSE()),1),IF(A294&lt;=30,VLOOKUP(A294,Punten!$A$2:$C$31,2,FALSE()),1)),0))))</f>
        <v>0</v>
      </c>
    </row>
    <row r="295" spans="1:9" x14ac:dyDescent="0.25">
      <c r="A295" s="12"/>
      <c r="B295" s="15"/>
      <c r="C295" s="17"/>
      <c r="D295" s="13"/>
      <c r="E295" s="13"/>
      <c r="F295" s="13"/>
      <c r="G295" s="15"/>
      <c r="H295" s="15"/>
      <c r="I295" s="16">
        <f>IF(C295="",0,IF(OR(A295="",A295="DNS"),0,IF(A295="DNF",1,IF(ISNUMBER(A295),IF($I$208="J",IF(A295&lt;=11,VLOOKUP(A295,Punten!$A$2:$C$31,3,FALSE()),1),IF(A295&lt;=30,VLOOKUP(A295,Punten!$A$2:$C$31,2,FALSE()),1)),0))))</f>
        <v>0</v>
      </c>
    </row>
    <row r="296" spans="1:9" x14ac:dyDescent="0.25">
      <c r="A296" s="12"/>
      <c r="B296" s="15"/>
      <c r="C296" s="17"/>
      <c r="D296" s="13"/>
      <c r="E296" s="13"/>
      <c r="F296" s="13"/>
      <c r="G296" s="15"/>
      <c r="H296" s="15"/>
      <c r="I296" s="16">
        <f>IF(C296="",0,IF(OR(A296="",A296="DNS"),0,IF(A296="DNF",1,IF(ISNUMBER(A296),IF($I$208="J",IF(A296&lt;=11,VLOOKUP(A296,Punten!$A$2:$C$31,3,FALSE()),1),IF(A296&lt;=30,VLOOKUP(A296,Punten!$A$2:$C$31,2,FALSE()),1)),0))))</f>
        <v>0</v>
      </c>
    </row>
    <row r="297" spans="1:9" x14ac:dyDescent="0.25">
      <c r="A297" s="12"/>
      <c r="B297" s="15"/>
      <c r="C297" s="17"/>
      <c r="D297" s="13"/>
      <c r="E297" s="13"/>
      <c r="F297" s="13"/>
      <c r="G297" s="15"/>
      <c r="H297" s="15"/>
      <c r="I297" s="16">
        <f>IF(C297="",0,IF(OR(A297="",A297="DNS"),0,IF(A297="DNF",1,IF(ISNUMBER(A297),IF($I$208="J",IF(A297&lt;=11,VLOOKUP(A297,Punten!$A$2:$C$31,3,FALSE()),1),IF(A297&lt;=30,VLOOKUP(A297,Punten!$A$2:$C$31,2,FALSE()),1)),0))))</f>
        <v>0</v>
      </c>
    </row>
    <row r="298" spans="1:9" x14ac:dyDescent="0.25">
      <c r="A298" s="12"/>
      <c r="B298" s="15"/>
      <c r="C298" s="17"/>
      <c r="D298" s="13"/>
      <c r="E298" s="13"/>
      <c r="F298" s="13"/>
      <c r="G298" s="15"/>
      <c r="H298" s="15"/>
      <c r="I298" s="16">
        <f>IF(C298="",0,IF(OR(A298="",A298="DNS"),0,IF(A298="DNF",1,IF(ISNUMBER(A298),IF($I$208="J",IF(A298&lt;=11,VLOOKUP(A298,Punten!$A$2:$C$31,3,FALSE()),1),IF(A298&lt;=30,VLOOKUP(A298,Punten!$A$2:$C$31,2,FALSE()),1)),0))))</f>
        <v>0</v>
      </c>
    </row>
    <row r="299" spans="1:9" x14ac:dyDescent="0.25">
      <c r="A299" s="12"/>
      <c r="B299" s="15"/>
      <c r="C299" s="17"/>
      <c r="D299" s="13"/>
      <c r="E299" s="13"/>
      <c r="F299" s="13"/>
      <c r="G299" s="15"/>
      <c r="H299" s="15"/>
      <c r="I299" s="16">
        <f>IF(C299="",0,IF(OR(A299="",A299="DNS"),0,IF(A299="DNF",1,IF(ISNUMBER(A299),IF($I$208="J",IF(A299&lt;=11,VLOOKUP(A299,Punten!$A$2:$C$31,3,FALSE()),1),IF(A299&lt;=30,VLOOKUP(A299,Punten!$A$2:$C$31,2,FALSE()),1)),0))))</f>
        <v>0</v>
      </c>
    </row>
    <row r="300" spans="1:9" x14ac:dyDescent="0.25">
      <c r="A300" s="12"/>
      <c r="B300" s="15"/>
      <c r="C300" s="17"/>
      <c r="D300" s="13"/>
      <c r="E300" s="13"/>
      <c r="F300" s="13"/>
      <c r="G300" s="15"/>
      <c r="H300" s="15"/>
      <c r="I300" s="16">
        <f>IF(C300="",0,IF(OR(A300="",A300="DNS"),0,IF(A300="DNF",1,IF(ISNUMBER(A300),IF($I$208="J",IF(A300&lt;=11,VLOOKUP(A300,Punten!$A$2:$C$31,3,FALSE()),1),IF(A300&lt;=30,VLOOKUP(A300,Punten!$A$2:$C$31,2,FALSE()),1)),0))))</f>
        <v>0</v>
      </c>
    </row>
    <row r="301" spans="1:9" x14ac:dyDescent="0.25">
      <c r="A301" s="12"/>
      <c r="B301" s="15"/>
      <c r="C301" s="17"/>
      <c r="D301" s="13"/>
      <c r="E301" s="13"/>
      <c r="F301" s="13"/>
      <c r="G301" s="15"/>
      <c r="H301" s="15"/>
      <c r="I301" s="16">
        <f>IF(C301="",0,IF(OR(A301="",A301="DNS"),0,IF(A301="DNF",1,IF(ISNUMBER(A301),IF($I$208="J",IF(A301&lt;=11,VLOOKUP(A301,Punten!$A$2:$C$31,3,FALSE()),1),IF(A301&lt;=30,VLOOKUP(A301,Punten!$A$2:$C$31,2,FALSE()),1)),0))))</f>
        <v>0</v>
      </c>
    </row>
    <row r="302" spans="1:9" x14ac:dyDescent="0.25">
      <c r="A302" s="12"/>
      <c r="B302" s="15"/>
      <c r="C302" s="17"/>
      <c r="D302" s="13"/>
      <c r="E302" s="13"/>
      <c r="F302" s="13"/>
      <c r="G302" s="15"/>
      <c r="H302" s="15"/>
      <c r="I302" s="16">
        <f>IF(C302="",0,IF(OR(A302="",A302="DNS"),0,IF(A302="DNF",1,IF(ISNUMBER(A302),IF($I$208="J",IF(A302&lt;=11,VLOOKUP(A302,Punten!$A$2:$C$31,3,FALSE()),1),IF(A302&lt;=30,VLOOKUP(A302,Punten!$A$2:$C$31,2,FALSE()),1)),0))))</f>
        <v>0</v>
      </c>
    </row>
    <row r="303" spans="1:9" x14ac:dyDescent="0.25">
      <c r="A303" s="12"/>
      <c r="B303" s="15"/>
      <c r="C303" s="17"/>
      <c r="D303" s="13"/>
      <c r="E303" s="13"/>
      <c r="F303" s="13"/>
      <c r="G303" s="15"/>
      <c r="H303" s="15"/>
      <c r="I303" s="16">
        <f>IF(C303="",0,IF(OR(A303="",A303="DNS"),0,IF(A303="DNF",1,IF(ISNUMBER(A303),IF($I$208="J",IF(A303&lt;=11,VLOOKUP(A303,Punten!$A$2:$C$31,3,FALSE()),1),IF(A303&lt;=30,VLOOKUP(A303,Punten!$A$2:$C$31,2,FALSE()),1)),0))))</f>
        <v>0</v>
      </c>
    </row>
    <row r="304" spans="1:9" x14ac:dyDescent="0.25">
      <c r="A304" s="12"/>
      <c r="B304" s="15"/>
      <c r="C304" s="17"/>
      <c r="D304" s="13"/>
      <c r="E304" s="13"/>
      <c r="F304" s="13"/>
      <c r="G304" s="15"/>
      <c r="H304" s="15"/>
      <c r="I304" s="16">
        <f>IF(C304="",0,IF(OR(A304="",A304="DNS"),0,IF(A304="DNF",1,IF(ISNUMBER(A304),IF($I$208="J",IF(A304&lt;=11,VLOOKUP(A304,Punten!$A$2:$C$31,3,FALSE()),1),IF(A304&lt;=30,VLOOKUP(A304,Punten!$A$2:$C$31,2,FALSE()),1)),0))))</f>
        <v>0</v>
      </c>
    </row>
    <row r="305" spans="1:9" x14ac:dyDescent="0.25">
      <c r="A305" s="12"/>
      <c r="B305" s="15"/>
      <c r="C305" s="17"/>
      <c r="D305" s="13"/>
      <c r="E305" s="13"/>
      <c r="F305" s="13"/>
      <c r="G305" s="15"/>
      <c r="H305" s="15"/>
      <c r="I305" s="16">
        <f>IF(C305="",0,IF(OR(A305="",A305="DNS"),0,IF(A305="DNF",1,IF(ISNUMBER(A305),IF($I$208="J",IF(A305&lt;=11,VLOOKUP(A305,Punten!$A$2:$C$31,3,FALSE()),1),IF(A305&lt;=30,VLOOKUP(A305,Punten!$A$2:$C$31,2,FALSE()),1)),0))))</f>
        <v>0</v>
      </c>
    </row>
    <row r="306" spans="1:9" x14ac:dyDescent="0.25">
      <c r="A306" s="12"/>
      <c r="B306" s="15"/>
      <c r="C306" s="17"/>
      <c r="D306" s="13"/>
      <c r="E306" s="13"/>
      <c r="F306" s="13"/>
      <c r="G306" s="15"/>
      <c r="H306" s="15"/>
      <c r="I306" s="16">
        <f>IF(C306="",0,IF(OR(A306="",A306="DNS"),0,IF(A306="DNF",1,IF(ISNUMBER(A306),IF($I$208="J",IF(A306&lt;=11,VLOOKUP(A306,Punten!$A$2:$C$31,3,FALSE()),1),IF(A306&lt;=30,VLOOKUP(A306,Punten!$A$2:$C$31,2,FALSE()),1)),0))))</f>
        <v>0</v>
      </c>
    </row>
    <row r="307" spans="1:9" x14ac:dyDescent="0.25">
      <c r="A307" s="12"/>
      <c r="B307" s="15"/>
      <c r="C307" s="17"/>
      <c r="D307" s="13"/>
      <c r="E307" s="13"/>
      <c r="F307" s="13"/>
      <c r="G307" s="15"/>
      <c r="H307" s="15"/>
      <c r="I307" s="16">
        <f>IF(C307="",0,IF(OR(A307="",A307="DNS"),0,IF(A307="DNF",1,IF(ISNUMBER(A307),IF($I$208="J",IF(A307&lt;=11,VLOOKUP(A307,Punten!$A$2:$C$31,3,FALSE()),1),IF(A307&lt;=30,VLOOKUP(A307,Punten!$A$2:$C$31,2,FALSE()),1)),0))))</f>
        <v>0</v>
      </c>
    </row>
    <row r="308" spans="1:9" x14ac:dyDescent="0.25">
      <c r="A308" s="12"/>
      <c r="B308" s="15"/>
      <c r="C308" s="17"/>
      <c r="D308" s="13"/>
      <c r="E308" s="13"/>
      <c r="F308" s="13"/>
      <c r="G308" s="15"/>
      <c r="H308" s="15"/>
      <c r="I308" s="16">
        <f>IF(C308="",0,IF(OR(A308="",A308="DNS"),0,IF(A308="DNF",1,IF(ISNUMBER(A308),IF($I$208="J",IF(A308&lt;=11,VLOOKUP(A308,Punten!$A$2:$C$31,3,FALSE()),1),IF(A308&lt;=30,VLOOKUP(A308,Punten!$A$2:$C$31,2,FALSE()),1)),0))))</f>
        <v>0</v>
      </c>
    </row>
    <row r="309" spans="1:9" x14ac:dyDescent="0.25">
      <c r="A309" s="12"/>
      <c r="B309" s="15"/>
      <c r="C309" s="17"/>
      <c r="D309" s="13"/>
      <c r="E309" s="13"/>
      <c r="F309" s="13"/>
      <c r="G309" s="15"/>
      <c r="H309" s="15"/>
      <c r="I309" s="16">
        <f>IF(C309="",0,IF(OR(A309="",A309="DNS"),0,IF(A309="DNF",1,IF(ISNUMBER(A309),IF($I$208="J",IF(A309&lt;=11,VLOOKUP(A309,Punten!$A$2:$C$31,3,FALSE()),1),IF(A309&lt;=30,VLOOKUP(A309,Punten!$A$2:$C$31,2,FALSE()),1)),0))))</f>
        <v>0</v>
      </c>
    </row>
  </sheetData>
  <mergeCells count="1">
    <mergeCell ref="A1:I1"/>
  </mergeCells>
  <hyperlinks>
    <hyperlink ref="G210" r:id="rId1" display="https://mijn.knwu.nl/calendar/races/105109" xr:uid="{BC8A5EF8-4B53-4665-B5E9-C5ABB3D42B2A}"/>
    <hyperlink ref="G211" r:id="rId2" display="https://mijn.knwu.nl/calendar/races/105109" xr:uid="{EF8ACFE5-A840-4A20-9E3F-305D70286C4B}"/>
    <hyperlink ref="G212" r:id="rId3" display="https://mijn.knwu.nl/calendar/races/105109" xr:uid="{9CCA37A9-EB24-4D5E-BD42-66D8A890BE1F}"/>
    <hyperlink ref="G213" r:id="rId4" display="https://mijn.knwu.nl/calendar/races/105109" xr:uid="{95D46183-EEA6-4179-812F-2B2062541BE9}"/>
    <hyperlink ref="G214" r:id="rId5" display="https://mijn.knwu.nl/calendar/races/105109" xr:uid="{B93FBA52-C966-4894-902E-BE86F7C91D6B}"/>
    <hyperlink ref="G215" r:id="rId6" display="https://mijn.knwu.nl/calendar/races/105109" xr:uid="{9ACDFEC3-A19D-47EA-8650-0ACF8EE69996}"/>
    <hyperlink ref="G216" r:id="rId7" display="https://mijn.knwu.nl/calendar/races/105109" xr:uid="{41D4786D-907D-4D9B-A274-97A5FB289693}"/>
    <hyperlink ref="G217" r:id="rId8" display="https://mijn.knwu.nl/calendar/races/105109" xr:uid="{53D5878C-56FC-4932-9382-BB9A14311FA9}"/>
    <hyperlink ref="G218" r:id="rId9" display="https://mijn.knwu.nl/calendar/races/105109" xr:uid="{AEE6ECE1-C8CC-4EC2-A04B-82182CD04354}"/>
    <hyperlink ref="G219" r:id="rId10" display="https://mijn.knwu.nl/calendar/races/105109" xr:uid="{657B22FB-F8D4-4265-80EB-D14CBC1E16C0}"/>
    <hyperlink ref="G220" r:id="rId11" display="https://mijn.knwu.nl/calendar/races/105109" xr:uid="{71186394-16F9-445F-B943-4576B450021F}"/>
    <hyperlink ref="G221" r:id="rId12" display="https://mijn.knwu.nl/calendar/races/105109" xr:uid="{01F92621-DA81-4E75-AED9-96A98BDA65AC}"/>
    <hyperlink ref="G222" r:id="rId13" display="https://mijn.knwu.nl/calendar/races/105109" xr:uid="{0EC94F3B-42FB-4E31-B20C-8E20C212AAF6}"/>
    <hyperlink ref="G223" r:id="rId14" display="https://mijn.knwu.nl/calendar/races/105109" xr:uid="{FAAA75C4-E34D-4A52-94F5-CBADE74F0D7A}"/>
    <hyperlink ref="G224" r:id="rId15" display="https://mijn.knwu.nl/calendar/races/105109" xr:uid="{55E7DCEC-B2D7-4360-8CDE-4EE423DFE8F9}"/>
    <hyperlink ref="G225" r:id="rId16" display="https://mijn.knwu.nl/calendar/races/105109" xr:uid="{9D92750F-6BD6-4C42-9CD0-F10843987B62}"/>
    <hyperlink ref="G226" r:id="rId17" display="https://mijn.knwu.nl/calendar/races/105109" xr:uid="{61636DAF-3FAB-4F20-8686-123A1B02589D}"/>
    <hyperlink ref="G4" r:id="rId18" display="https://mijn.knwu.nl/calendar/races/105105" xr:uid="{BC357C47-E53E-4322-A94D-961B7F61162F}"/>
    <hyperlink ref="G5" r:id="rId19" display="https://mijn.knwu.nl/calendar/races/105105" xr:uid="{485F4F9C-3E64-4D46-B0CE-39B7A8944B72}"/>
    <hyperlink ref="G6" r:id="rId20" display="https://mijn.knwu.nl/calendar/races/105105" xr:uid="{8CF6CB58-B6A9-4049-AE63-570B4236A12C}"/>
    <hyperlink ref="G7" r:id="rId21" display="https://mijn.knwu.nl/calendar/races/105105" xr:uid="{1055E33F-DC90-4A59-A918-982EAB812B73}"/>
    <hyperlink ref="G8" r:id="rId22" display="https://mijn.knwu.nl/calendar/races/105105" xr:uid="{11407A1E-41C4-4A39-92F4-B80256AB1FF2}"/>
    <hyperlink ref="G9" r:id="rId23" display="https://mijn.knwu.nl/calendar/races/105105" xr:uid="{41DC99C3-47E9-43C6-B718-08A0D2A7B2A5}"/>
    <hyperlink ref="G10" r:id="rId24" display="https://mijn.knwu.nl/calendar/races/105105" xr:uid="{CF2C4C4A-1C59-4794-8923-41353C9B2513}"/>
    <hyperlink ref="G11" r:id="rId25" display="https://mijn.knwu.nl/calendar/races/105105" xr:uid="{E568DDBA-1EE7-40CC-864C-B781949B6F73}"/>
    <hyperlink ref="G12" r:id="rId26" display="https://mijn.knwu.nl/calendar/races/105105" xr:uid="{F2FA6C4C-15DF-44B6-AB38-92D1D4DDD6BE}"/>
    <hyperlink ref="G13" r:id="rId27" display="https://mijn.knwu.nl/calendar/races/105105" xr:uid="{6757ACCD-C273-4ADD-92F6-043D611F5716}"/>
    <hyperlink ref="G14" r:id="rId28" display="https://mijn.knwu.nl/calendar/races/105105" xr:uid="{C70B6E29-2916-4504-B6A5-9FDB911B2AB7}"/>
    <hyperlink ref="G15" r:id="rId29" display="https://mijn.knwu.nl/calendar/races/105105" xr:uid="{4BDDA8D9-AA72-4643-ADF0-8E86A0393F86}"/>
    <hyperlink ref="G16" r:id="rId30" display="https://mijn.knwu.nl/calendar/races/105105" xr:uid="{6772AB5D-3F24-44E4-BB59-272C3306B245}"/>
    <hyperlink ref="G17" r:id="rId31" display="https://mijn.knwu.nl/calendar/races/105105" xr:uid="{B2AB2125-9FD5-476A-B864-7C8A9E2B6C26}"/>
    <hyperlink ref="G18" r:id="rId32" display="https://mijn.knwu.nl/calendar/races/105105" xr:uid="{21F89863-4891-4983-9015-5F538CA3A8AE}"/>
    <hyperlink ref="G19" r:id="rId33" display="https://mijn.knwu.nl/calendar/races/105105" xr:uid="{D74890AD-E3E8-4EA9-800E-BC893ED81A45}"/>
    <hyperlink ref="G20" r:id="rId34" display="https://mijn.knwu.nl/calendar/races/105105" xr:uid="{B1CA9970-B8F4-49D7-B946-02F3FB073210}"/>
    <hyperlink ref="G21" r:id="rId35" display="https://mijn.knwu.nl/calendar/races/105105" xr:uid="{0A1BC4F8-3432-45F0-B183-357FC60C0ECB}"/>
    <hyperlink ref="G22" r:id="rId36" display="https://mijn.knwu.nl/calendar/races/105105" xr:uid="{7C6F32B2-184B-4738-9537-9317C57BF818}"/>
    <hyperlink ref="G23" r:id="rId37" display="https://mijn.knwu.nl/calendar/races/105105" xr:uid="{77679FDF-976F-4807-BCD1-2FE7EE859403}"/>
    <hyperlink ref="G24" r:id="rId38" display="https://mijn.knwu.nl/calendar/races/105105" xr:uid="{F1BB5FDB-05ED-43EB-828B-BA3B49FC92A4}"/>
    <hyperlink ref="G25" r:id="rId39" display="https://mijn.knwu.nl/calendar/races/105105" xr:uid="{FDEA19CB-C90B-4C5E-A178-A9406711DDE6}"/>
    <hyperlink ref="G26" r:id="rId40" display="https://mijn.knwu.nl/calendar/races/105105" xr:uid="{62EC7113-BF0B-4313-BF82-A99809978083}"/>
    <hyperlink ref="G27" r:id="rId41" display="https://mijn.knwu.nl/calendar/races/105105" xr:uid="{97CEEA4E-E492-426F-9808-8DFBC23DC8D7}"/>
    <hyperlink ref="G28" r:id="rId42" display="https://mijn.knwu.nl/calendar/races/105105" xr:uid="{0D0FA121-8B3B-4046-9B67-957222BAB466}"/>
    <hyperlink ref="G29" r:id="rId43" display="https://mijn.knwu.nl/calendar/races/105105" xr:uid="{3994F64C-CAEC-4CD2-A4BA-70A03B763416}"/>
    <hyperlink ref="G30" r:id="rId44" display="https://mijn.knwu.nl/calendar/races/105105" xr:uid="{FF6B3D13-674F-45D4-9064-E70683029399}"/>
    <hyperlink ref="G31" r:id="rId45" display="https://mijn.knwu.nl/calendar/races/105105" xr:uid="{E68A6BDF-BFC1-42D4-86AB-D7B606D65B9D}"/>
    <hyperlink ref="G32" r:id="rId46" display="https://mijn.knwu.nl/calendar/races/105105" xr:uid="{39BD5358-EFD9-412A-833B-89DF8F0CD645}"/>
    <hyperlink ref="G33" r:id="rId47" display="https://mijn.knwu.nl/calendar/races/105105" xr:uid="{FBE6A82A-B845-48A8-9A0C-E83E20E0AE6D}"/>
    <hyperlink ref="G34" r:id="rId48" display="https://mijn.knwu.nl/calendar/races/105105" xr:uid="{6A9A1B51-65FD-42B0-9DDD-4414266E5702}"/>
    <hyperlink ref="G35" r:id="rId49" display="https://mijn.knwu.nl/calendar/races/105105" xr:uid="{0548FD6B-941E-42F1-9201-E1D57C050C83}"/>
    <hyperlink ref="G36" r:id="rId50" display="https://mijn.knwu.nl/calendar/races/105105" xr:uid="{AFB7EF04-FBDC-4796-AF6A-22D489A17B8A}"/>
    <hyperlink ref="G37" r:id="rId51" display="https://mijn.knwu.nl/calendar/races/105105" xr:uid="{D1458523-E1D8-4761-886A-A2AEF6171060}"/>
    <hyperlink ref="G38" r:id="rId52" display="https://mijn.knwu.nl/calendar/races/105105" xr:uid="{15D05C8C-CB90-4C3E-8E0C-4D189B0F3919}"/>
    <hyperlink ref="G39" r:id="rId53" display="https://mijn.knwu.nl/calendar/races/105105" xr:uid="{A74D4BA2-39F5-4820-BED6-D7359656A199}"/>
    <hyperlink ref="G40" r:id="rId54" display="https://mijn.knwu.nl/calendar/races/105105" xr:uid="{5126C8B3-59AF-4617-A96A-1C965523A2BD}"/>
    <hyperlink ref="G41" r:id="rId55" display="https://mijn.knwu.nl/calendar/races/105105" xr:uid="{8C52356D-7CF2-4E70-9215-DE79E45DF757}"/>
    <hyperlink ref="G42" r:id="rId56" display="https://mijn.knwu.nl/calendar/races/105105" xr:uid="{B928EE96-0410-47DA-93D7-A694C3C5B9F0}"/>
    <hyperlink ref="G43" r:id="rId57" display="https://mijn.knwu.nl/calendar/races/105105" xr:uid="{4AABE6A7-827C-47CC-B2A0-85EEA5D07198}"/>
    <hyperlink ref="G44" r:id="rId58" display="https://mijn.knwu.nl/calendar/races/105105" xr:uid="{BBB2D3DC-F453-451C-B474-F6846592058C}"/>
    <hyperlink ref="G45" r:id="rId59" display="https://mijn.knwu.nl/calendar/races/105105" xr:uid="{3F449A67-DF16-473B-A839-6507ADE85432}"/>
    <hyperlink ref="G46" r:id="rId60" display="https://mijn.knwu.nl/calendar/races/105105" xr:uid="{CF246805-19BA-449B-BD2B-9387F560D2DE}"/>
    <hyperlink ref="G107" r:id="rId61" display="https://mijn.knwu.nl/calendar/races/105106" xr:uid="{AA7074E2-FC5F-4645-B207-1A600324CD5C}"/>
    <hyperlink ref="G108" r:id="rId62" display="https://mijn.knwu.nl/calendar/races/105106" xr:uid="{289E4FD0-88F4-4D5D-8CF1-1F90E94F0184}"/>
    <hyperlink ref="G109" r:id="rId63" display="https://mijn.knwu.nl/calendar/races/105106" xr:uid="{FCCD50AD-A026-4297-9CF8-150D0C774A39}"/>
    <hyperlink ref="G110" r:id="rId64" display="https://mijn.knwu.nl/calendar/races/105106" xr:uid="{84CDDB28-894D-4474-AE31-AB2768EC6B82}"/>
    <hyperlink ref="G111" r:id="rId65" display="https://mijn.knwu.nl/calendar/races/105106" xr:uid="{B4130283-FAF2-4CF1-AC17-FB7E273464D6}"/>
    <hyperlink ref="G112" r:id="rId66" display="https://mijn.knwu.nl/calendar/races/105106" xr:uid="{B86E127A-92A9-463D-81D7-D31EA9CAE37C}"/>
    <hyperlink ref="G113" r:id="rId67" display="https://mijn.knwu.nl/calendar/races/105106" xr:uid="{D85D42DE-52C6-45F0-AC41-FDB5F7B904EC}"/>
    <hyperlink ref="G114" r:id="rId68" display="https://mijn.knwu.nl/calendar/races/105106" xr:uid="{757F6631-8B67-45CE-A5CB-9303A847B858}"/>
    <hyperlink ref="G115" r:id="rId69" display="https://mijn.knwu.nl/calendar/races/105106" xr:uid="{4EFE90CC-22D8-4565-862D-B25866956120}"/>
    <hyperlink ref="G116" r:id="rId70" display="https://mijn.knwu.nl/calendar/races/105106" xr:uid="{BDC7E19F-3C17-473D-8807-484BA7D038AE}"/>
    <hyperlink ref="G117" r:id="rId71" display="https://mijn.knwu.nl/calendar/races/105106" xr:uid="{CC008D32-330B-4DB0-81B4-5D95084A9F66}"/>
    <hyperlink ref="G118" r:id="rId72" display="https://mijn.knwu.nl/calendar/races/105106" xr:uid="{8301188B-4EE2-4F98-A552-F7B7628C8B26}"/>
    <hyperlink ref="G119" r:id="rId73" display="https://mijn.knwu.nl/calendar/races/105106" xr:uid="{D700EA88-C3A7-477A-8EDE-396BF6745272}"/>
    <hyperlink ref="G120" r:id="rId74" display="https://mijn.knwu.nl/calendar/races/105106" xr:uid="{1FD1948C-1E40-4972-9203-E732A2D814BE}"/>
    <hyperlink ref="G121" r:id="rId75" display="https://mijn.knwu.nl/calendar/races/105106" xr:uid="{35D37A18-CE9A-4C04-A523-F833B55E27FA}"/>
    <hyperlink ref="G122" r:id="rId76" display="https://mijn.knwu.nl/calendar/races/105106" xr:uid="{7D51C2C5-3421-4E0A-8534-2D6EA9612895}"/>
    <hyperlink ref="G123" r:id="rId77" display="https://mijn.knwu.nl/calendar/races/105106" xr:uid="{45A5FBFE-039D-4645-B559-23F789631BFD}"/>
    <hyperlink ref="G124" r:id="rId78" display="https://mijn.knwu.nl/calendar/races/105106" xr:uid="{D02AD19B-22E8-4CBB-B395-FD73945C1DEA}"/>
    <hyperlink ref="G125" r:id="rId79" display="https://mijn.knwu.nl/calendar/races/105106" xr:uid="{994EAA7C-672B-4C6A-93A1-EDB3F43D44B3}"/>
    <hyperlink ref="G126" r:id="rId80" display="https://mijn.knwu.nl/calendar/races/105106" xr:uid="{B25E3A4D-AB02-4E54-8BEE-819950FACA47}"/>
    <hyperlink ref="G127" r:id="rId81" display="https://mijn.knwu.nl/calendar/races/105106" xr:uid="{A3352FA9-C35E-4286-BB76-845C5C14BAEA}"/>
    <hyperlink ref="G128" r:id="rId82" display="https://mijn.knwu.nl/calendar/races/105106" xr:uid="{2B6F6437-DCCF-491D-B2C9-F155313FC12B}"/>
    <hyperlink ref="G129" r:id="rId83" display="https://mijn.knwu.nl/calendar/races/105106" xr:uid="{D84E212F-439C-4ACA-B81B-168C263E9358}"/>
    <hyperlink ref="G130" r:id="rId84" display="https://mijn.knwu.nl/calendar/races/105106" xr:uid="{43BBED9C-D1BE-4BF3-B591-C3EBEA53CAE6}"/>
  </hyperlinks>
  <pageMargins left="0.75" right="0.75" top="1" bottom="1" header="0.511811023622047" footer="0.511811023622047"/>
  <pageSetup paperSize="9" orientation="portrait" horizontalDpi="300" verticalDpi="300" r:id="rId85"/>
  <drawing r:id="rId8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09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0" customWidth="1"/>
    <col min="2" max="2" width="14" customWidth="1"/>
    <col min="3" max="3" width="28" customWidth="1"/>
    <col min="4" max="5" width="14" customWidth="1"/>
    <col min="6" max="6" width="28" customWidth="1"/>
    <col min="7" max="7" width="14" customWidth="1"/>
    <col min="8" max="9" width="12" customWidth="1"/>
  </cols>
  <sheetData>
    <row r="1" spans="1:9" ht="18" customHeight="1" x14ac:dyDescent="0.25">
      <c r="A1" s="44" t="s">
        <v>142</v>
      </c>
      <c r="B1" s="44"/>
      <c r="C1" s="44"/>
      <c r="D1" s="44"/>
      <c r="E1" s="44"/>
      <c r="F1" s="44"/>
      <c r="G1" s="44"/>
      <c r="H1" s="44"/>
      <c r="I1" s="44"/>
    </row>
    <row r="2" spans="1:9" ht="16.5" customHeight="1" x14ac:dyDescent="0.25">
      <c r="A2" s="7" t="s">
        <v>22</v>
      </c>
      <c r="B2" s="8"/>
      <c r="C2" s="8"/>
      <c r="D2" s="8"/>
      <c r="E2" s="8"/>
      <c r="F2" s="8"/>
      <c r="G2" s="8"/>
      <c r="H2" s="9" t="s">
        <v>23</v>
      </c>
      <c r="I2" s="10" t="s">
        <v>24</v>
      </c>
    </row>
    <row r="3" spans="1:9" x14ac:dyDescent="0.25">
      <c r="A3" s="11" t="s">
        <v>25</v>
      </c>
      <c r="B3" s="11" t="s">
        <v>26</v>
      </c>
      <c r="C3" s="11" t="s">
        <v>27</v>
      </c>
      <c r="D3" s="11" t="s">
        <v>98</v>
      </c>
      <c r="E3" s="11" t="s">
        <v>28</v>
      </c>
      <c r="F3" s="11" t="s">
        <v>29</v>
      </c>
      <c r="G3" s="11" t="s">
        <v>30</v>
      </c>
      <c r="H3" s="11" t="s">
        <v>31</v>
      </c>
      <c r="I3" s="11" t="s">
        <v>32</v>
      </c>
    </row>
    <row r="4" spans="1:9" x14ac:dyDescent="0.25">
      <c r="A4" s="12"/>
      <c r="B4" s="13"/>
      <c r="C4" s="17"/>
      <c r="D4" s="13"/>
      <c r="E4" s="13"/>
      <c r="F4" s="13"/>
      <c r="G4" s="15"/>
      <c r="H4" s="15"/>
      <c r="I4" s="16">
        <f>IF(C4="",0,IF(OR(A4="",A4="DNS"),0,IF(A4="DNF",1,IF(ISNUMBER(A4),IF($I$2="J",IF(A4&lt;=11,VLOOKUP(A4,Punten!$A$2:$C$31,3,FALSE()),1),IF(A4&lt;=30,VLOOKUP(A4,Punten!$A$2:$C$31,2,FALSE()),1)),0))))</f>
        <v>0</v>
      </c>
    </row>
    <row r="5" spans="1:9" x14ac:dyDescent="0.25">
      <c r="A5" s="12"/>
      <c r="B5" s="13"/>
      <c r="C5" s="17"/>
      <c r="D5" s="13"/>
      <c r="E5" s="13"/>
      <c r="F5" s="13"/>
      <c r="G5" s="15"/>
      <c r="H5" s="15"/>
      <c r="I5" s="16">
        <f>IF(C5="",0,IF(OR(A5="",A5="DNS"),0,IF(A5="DNF",1,IF(ISNUMBER(A5),IF($I$2="J",IF(A5&lt;=11,VLOOKUP(A5,Punten!$A$2:$C$31,3,FALSE()),1),IF(A5&lt;=30,VLOOKUP(A5,Punten!$A$2:$C$31,2,FALSE()),1)),0))))</f>
        <v>0</v>
      </c>
    </row>
    <row r="6" spans="1:9" x14ac:dyDescent="0.25">
      <c r="A6" s="12"/>
      <c r="B6" s="13"/>
      <c r="C6" s="17"/>
      <c r="D6" s="13"/>
      <c r="E6" s="13"/>
      <c r="F6" s="13"/>
      <c r="G6" s="15"/>
      <c r="H6" s="15"/>
      <c r="I6" s="16">
        <f>IF(C6="",0,IF(OR(A6="",A6="DNS"),0,IF(A6="DNF",1,IF(ISNUMBER(A6),IF($I$2="J",IF(A6&lt;=11,VLOOKUP(A6,Punten!$A$2:$C$31,3,FALSE()),1),IF(A6&lt;=30,VLOOKUP(A6,Punten!$A$2:$C$31,2,FALSE()),1)),0))))</f>
        <v>0</v>
      </c>
    </row>
    <row r="7" spans="1:9" x14ac:dyDescent="0.25">
      <c r="A7" s="12"/>
      <c r="B7" s="13"/>
      <c r="C7" s="17"/>
      <c r="D7" s="13"/>
      <c r="E7" s="13"/>
      <c r="F7" s="13"/>
      <c r="G7" s="15"/>
      <c r="H7" s="15"/>
      <c r="I7" s="16">
        <f>IF(C7="",0,IF(OR(A7="",A7="DNS"),0,IF(A7="DNF",1,IF(ISNUMBER(A7),IF($I$2="J",IF(A7&lt;=11,VLOOKUP(A7,Punten!$A$2:$C$31,3,FALSE()),1),IF(A7&lt;=30,VLOOKUP(A7,Punten!$A$2:$C$31,2,FALSE()),1)),0))))</f>
        <v>0</v>
      </c>
    </row>
    <row r="8" spans="1:9" x14ac:dyDescent="0.25">
      <c r="A8" s="12"/>
      <c r="B8" s="13"/>
      <c r="C8" s="17"/>
      <c r="D8" s="13"/>
      <c r="E8" s="13"/>
      <c r="F8" s="13"/>
      <c r="G8" s="15"/>
      <c r="H8" s="15"/>
      <c r="I8" s="16">
        <f>IF(C8="",0,IF(OR(A8="",A8="DNS"),0,IF(A8="DNF",1,IF(ISNUMBER(A8),IF($I$2="J",IF(A8&lt;=11,VLOOKUP(A8,Punten!$A$2:$C$31,3,FALSE()),1),IF(A8&lt;=30,VLOOKUP(A8,Punten!$A$2:$C$31,2,FALSE()),1)),0))))</f>
        <v>0</v>
      </c>
    </row>
    <row r="9" spans="1:9" x14ac:dyDescent="0.25">
      <c r="A9" s="12"/>
      <c r="B9" s="13"/>
      <c r="C9" s="17"/>
      <c r="D9" s="13"/>
      <c r="E9" s="13"/>
      <c r="F9" s="13"/>
      <c r="G9" s="15"/>
      <c r="H9" s="15"/>
      <c r="I9" s="16">
        <f>IF(C9="",0,IF(OR(A9="",A9="DNS"),0,IF(A9="DNF",1,IF(ISNUMBER(A9),IF($I$2="J",IF(A9&lt;=11,VLOOKUP(A9,Punten!$A$2:$C$31,3,FALSE()),1),IF(A9&lt;=30,VLOOKUP(A9,Punten!$A$2:$C$31,2,FALSE()),1)),0))))</f>
        <v>0</v>
      </c>
    </row>
    <row r="10" spans="1:9" x14ac:dyDescent="0.25">
      <c r="A10" s="12"/>
      <c r="B10" s="13"/>
      <c r="C10" s="17"/>
      <c r="D10" s="13"/>
      <c r="E10" s="13"/>
      <c r="F10" s="13"/>
      <c r="G10" s="15"/>
      <c r="H10" s="15"/>
      <c r="I10" s="16">
        <f>IF(C10="",0,IF(OR(A10="",A10="DNS"),0,IF(A10="DNF",1,IF(ISNUMBER(A10),IF($I$2="J",IF(A10&lt;=11,VLOOKUP(A10,Punten!$A$2:$C$31,3,FALSE()),1),IF(A10&lt;=30,VLOOKUP(A10,Punten!$A$2:$C$31,2,FALSE()),1)),0))))</f>
        <v>0</v>
      </c>
    </row>
    <row r="11" spans="1:9" x14ac:dyDescent="0.25">
      <c r="A11" s="12"/>
      <c r="B11" s="13"/>
      <c r="C11" s="17"/>
      <c r="D11" s="13"/>
      <c r="E11" s="13"/>
      <c r="F11" s="13"/>
      <c r="G11" s="15"/>
      <c r="H11" s="15"/>
      <c r="I11" s="16">
        <f>IF(C11="",0,IF(OR(A11="",A11="DNS"),0,IF(A11="DNF",1,IF(ISNUMBER(A11),IF($I$2="J",IF(A11&lt;=11,VLOOKUP(A11,Punten!$A$2:$C$31,3,FALSE()),1),IF(A11&lt;=30,VLOOKUP(A11,Punten!$A$2:$C$31,2,FALSE()),1)),0))))</f>
        <v>0</v>
      </c>
    </row>
    <row r="12" spans="1:9" x14ac:dyDescent="0.25">
      <c r="A12" s="12"/>
      <c r="B12" s="13"/>
      <c r="C12" s="17"/>
      <c r="D12" s="13"/>
      <c r="E12" s="13"/>
      <c r="F12" s="13"/>
      <c r="G12" s="15"/>
      <c r="H12" s="15"/>
      <c r="I12" s="16">
        <f>IF(C12="",0,IF(OR(A12="",A12="DNS"),0,IF(A12="DNF",1,IF(ISNUMBER(A12),IF($I$2="J",IF(A12&lt;=11,VLOOKUP(A12,Punten!$A$2:$C$31,3,FALSE()),1),IF(A12&lt;=30,VLOOKUP(A12,Punten!$A$2:$C$31,2,FALSE()),1)),0))))</f>
        <v>0</v>
      </c>
    </row>
    <row r="13" spans="1:9" x14ac:dyDescent="0.25">
      <c r="A13" s="12"/>
      <c r="B13" s="13"/>
      <c r="C13" s="17"/>
      <c r="D13" s="13"/>
      <c r="E13" s="13"/>
      <c r="F13" s="13"/>
      <c r="G13" s="15"/>
      <c r="H13" s="15"/>
      <c r="I13" s="16">
        <f>IF(C13="",0,IF(OR(A13="",A13="DNS"),0,IF(A13="DNF",1,IF(ISNUMBER(A13),IF($I$2="J",IF(A13&lt;=11,VLOOKUP(A13,Punten!$A$2:$C$31,3,FALSE()),1),IF(A13&lt;=30,VLOOKUP(A13,Punten!$A$2:$C$31,2,FALSE()),1)),0))))</f>
        <v>0</v>
      </c>
    </row>
    <row r="14" spans="1:9" x14ac:dyDescent="0.25">
      <c r="A14" s="12"/>
      <c r="B14" s="13"/>
      <c r="C14" s="17"/>
      <c r="D14" s="13"/>
      <c r="E14" s="13"/>
      <c r="F14" s="13"/>
      <c r="G14" s="15"/>
      <c r="H14" s="15"/>
      <c r="I14" s="16">
        <f>IF(C14="",0,IF(OR(A14="",A14="DNS"),0,IF(A14="DNF",1,IF(ISNUMBER(A14),IF($I$2="J",IF(A14&lt;=11,VLOOKUP(A14,Punten!$A$2:$C$31,3,FALSE()),1),IF(A14&lt;=30,VLOOKUP(A14,Punten!$A$2:$C$31,2,FALSE()),1)),0))))</f>
        <v>0</v>
      </c>
    </row>
    <row r="15" spans="1:9" x14ac:dyDescent="0.25">
      <c r="A15" s="12"/>
      <c r="B15" s="13"/>
      <c r="C15" s="17"/>
      <c r="D15" s="13"/>
      <c r="E15" s="13"/>
      <c r="F15" s="13"/>
      <c r="G15" s="15"/>
      <c r="H15" s="15"/>
      <c r="I15" s="16">
        <f>IF(C15="",0,IF(OR(A15="",A15="DNS"),0,IF(A15="DNF",1,IF(ISNUMBER(A15),IF($I$2="J",IF(A15&lt;=11,VLOOKUP(A15,Punten!$A$2:$C$31,3,FALSE()),1),IF(A15&lt;=30,VLOOKUP(A15,Punten!$A$2:$C$31,2,FALSE()),1)),0))))</f>
        <v>0</v>
      </c>
    </row>
    <row r="16" spans="1:9" x14ac:dyDescent="0.25">
      <c r="A16" s="12"/>
      <c r="B16" s="13"/>
      <c r="C16" s="17"/>
      <c r="D16" s="13"/>
      <c r="E16" s="13"/>
      <c r="F16" s="13"/>
      <c r="G16" s="15"/>
      <c r="H16" s="15"/>
      <c r="I16" s="16">
        <f>IF(C16="",0,IF(OR(A16="",A16="DNS"),0,IF(A16="DNF",1,IF(ISNUMBER(A16),IF($I$2="J",IF(A16&lt;=11,VLOOKUP(A16,Punten!$A$2:$C$31,3,FALSE()),1),IF(A16&lt;=30,VLOOKUP(A16,Punten!$A$2:$C$31,2,FALSE()),1)),0))))</f>
        <v>0</v>
      </c>
    </row>
    <row r="17" spans="1:9" x14ac:dyDescent="0.25">
      <c r="A17" s="12"/>
      <c r="B17" s="13"/>
      <c r="C17" s="17"/>
      <c r="D17" s="13"/>
      <c r="E17" s="13"/>
      <c r="F17" s="13"/>
      <c r="G17" s="15"/>
      <c r="H17" s="15"/>
      <c r="I17" s="16">
        <f>IF(C17="",0,IF(OR(A17="",A17="DNS"),0,IF(A17="DNF",1,IF(ISNUMBER(A17),IF($I$2="J",IF(A17&lt;=11,VLOOKUP(A17,Punten!$A$2:$C$31,3,FALSE()),1),IF(A17&lt;=30,VLOOKUP(A17,Punten!$A$2:$C$31,2,FALSE()),1)),0))))</f>
        <v>0</v>
      </c>
    </row>
    <row r="18" spans="1:9" x14ac:dyDescent="0.25">
      <c r="A18" s="12"/>
      <c r="B18" s="13"/>
      <c r="C18" s="17"/>
      <c r="D18" s="13"/>
      <c r="E18" s="13"/>
      <c r="F18" s="13"/>
      <c r="G18" s="15"/>
      <c r="H18" s="15"/>
      <c r="I18" s="16">
        <f>IF(C18="",0,IF(OR(A18="",A18="DNS"),0,IF(A18="DNF",1,IF(ISNUMBER(A18),IF($I$2="J",IF(A18&lt;=11,VLOOKUP(A18,Punten!$A$2:$C$31,3,FALSE()),1),IF(A18&lt;=30,VLOOKUP(A18,Punten!$A$2:$C$31,2,FALSE()),1)),0))))</f>
        <v>0</v>
      </c>
    </row>
    <row r="19" spans="1:9" x14ac:dyDescent="0.25">
      <c r="A19" s="12"/>
      <c r="B19" s="13"/>
      <c r="C19" s="17"/>
      <c r="D19" s="13"/>
      <c r="E19" s="13"/>
      <c r="F19" s="13"/>
      <c r="G19" s="15"/>
      <c r="H19" s="15"/>
      <c r="I19" s="16">
        <f>IF(C19="",0,IF(OR(A19="",A19="DNS"),0,IF(A19="DNF",1,IF(ISNUMBER(A19),IF($I$2="J",IF(A19&lt;=11,VLOOKUP(A19,Punten!$A$2:$C$31,3,FALSE()),1),IF(A19&lt;=30,VLOOKUP(A19,Punten!$A$2:$C$31,2,FALSE()),1)),0))))</f>
        <v>0</v>
      </c>
    </row>
    <row r="20" spans="1:9" x14ac:dyDescent="0.25">
      <c r="A20" s="12"/>
      <c r="B20" s="13"/>
      <c r="C20" s="17"/>
      <c r="D20" s="13"/>
      <c r="E20" s="13"/>
      <c r="F20" s="13"/>
      <c r="G20" s="15"/>
      <c r="H20" s="15"/>
      <c r="I20" s="16">
        <f>IF(C20="",0,IF(OR(A20="",A20="DNS"),0,IF(A20="DNF",1,IF(ISNUMBER(A20),IF($I$2="J",IF(A20&lt;=11,VLOOKUP(A20,Punten!$A$2:$C$31,3,FALSE()),1),IF(A20&lt;=30,VLOOKUP(A20,Punten!$A$2:$C$31,2,FALSE()),1)),0))))</f>
        <v>0</v>
      </c>
    </row>
    <row r="21" spans="1:9" x14ac:dyDescent="0.25">
      <c r="A21" s="12"/>
      <c r="B21" s="13"/>
      <c r="C21" s="17"/>
      <c r="D21" s="13"/>
      <c r="E21" s="13"/>
      <c r="F21" s="13"/>
      <c r="G21" s="15"/>
      <c r="H21" s="15"/>
      <c r="I21" s="16">
        <f>IF(C21="",0,IF(OR(A21="",A21="DNS"),0,IF(A21="DNF",1,IF(ISNUMBER(A21),IF($I$2="J",IF(A21&lt;=11,VLOOKUP(A21,Punten!$A$2:$C$31,3,FALSE()),1),IF(A21&lt;=30,VLOOKUP(A21,Punten!$A$2:$C$31,2,FALSE()),1)),0))))</f>
        <v>0</v>
      </c>
    </row>
    <row r="22" spans="1:9" x14ac:dyDescent="0.25">
      <c r="A22" s="12"/>
      <c r="B22" s="13"/>
      <c r="C22" s="17"/>
      <c r="D22" s="13"/>
      <c r="E22" s="13"/>
      <c r="F22" s="13"/>
      <c r="G22" s="15"/>
      <c r="H22" s="15"/>
      <c r="I22" s="16">
        <f>IF(C22="",0,IF(OR(A22="",A22="DNS"),0,IF(A22="DNF",1,IF(ISNUMBER(A22),IF($I$2="J",IF(A22&lt;=11,VLOOKUP(A22,Punten!$A$2:$C$31,3,FALSE()),1),IF(A22&lt;=30,VLOOKUP(A22,Punten!$A$2:$C$31,2,FALSE()),1)),0))))</f>
        <v>0</v>
      </c>
    </row>
    <row r="23" spans="1:9" x14ac:dyDescent="0.25">
      <c r="A23" s="12"/>
      <c r="B23" s="13"/>
      <c r="C23" s="17"/>
      <c r="D23" s="13"/>
      <c r="E23" s="13"/>
      <c r="F23" s="13"/>
      <c r="G23" s="15"/>
      <c r="H23" s="15"/>
      <c r="I23" s="16">
        <f>IF(C23="",0,IF(OR(A23="",A23="DNS"),0,IF(A23="DNF",1,IF(ISNUMBER(A23),IF($I$2="J",IF(A23&lt;=11,VLOOKUP(A23,Punten!$A$2:$C$31,3,FALSE()),1),IF(A23&lt;=30,VLOOKUP(A23,Punten!$A$2:$C$31,2,FALSE()),1)),0))))</f>
        <v>0</v>
      </c>
    </row>
    <row r="24" spans="1:9" x14ac:dyDescent="0.25">
      <c r="A24" s="12"/>
      <c r="B24" s="13"/>
      <c r="C24" s="17"/>
      <c r="D24" s="13"/>
      <c r="E24" s="13"/>
      <c r="F24" s="13"/>
      <c r="G24" s="15"/>
      <c r="H24" s="15"/>
      <c r="I24" s="16">
        <f>IF(C24="",0,IF(OR(A24="",A24="DNS"),0,IF(A24="DNF",1,IF(ISNUMBER(A24),IF($I$2="J",IF(A24&lt;=11,VLOOKUP(A24,Punten!$A$2:$C$31,3,FALSE()),1),IF(A24&lt;=30,VLOOKUP(A24,Punten!$A$2:$C$31,2,FALSE()),1)),0))))</f>
        <v>0</v>
      </c>
    </row>
    <row r="25" spans="1:9" x14ac:dyDescent="0.25">
      <c r="A25" s="12"/>
      <c r="B25" s="13"/>
      <c r="C25" s="17"/>
      <c r="D25" s="13"/>
      <c r="E25" s="13"/>
      <c r="F25" s="13"/>
      <c r="G25" s="15"/>
      <c r="H25" s="15"/>
      <c r="I25" s="16">
        <f>IF(C25="",0,IF(OR(A25="",A25="DNS"),0,IF(A25="DNF",1,IF(ISNUMBER(A25),IF($I$2="J",IF(A25&lt;=11,VLOOKUP(A25,Punten!$A$2:$C$31,3,FALSE()),1),IF(A25&lt;=30,VLOOKUP(A25,Punten!$A$2:$C$31,2,FALSE()),1)),0))))</f>
        <v>0</v>
      </c>
    </row>
    <row r="26" spans="1:9" x14ac:dyDescent="0.25">
      <c r="A26" s="12"/>
      <c r="B26" s="13"/>
      <c r="C26" s="17"/>
      <c r="D26" s="13"/>
      <c r="E26" s="13"/>
      <c r="F26" s="13"/>
      <c r="G26" s="15"/>
      <c r="H26" s="15"/>
      <c r="I26" s="16">
        <f>IF(C26="",0,IF(OR(A26="",A26="DNS"),0,IF(A26="DNF",1,IF(ISNUMBER(A26),IF($I$2="J",IF(A26&lt;=11,VLOOKUP(A26,Punten!$A$2:$C$31,3,FALSE()),1),IF(A26&lt;=30,VLOOKUP(A26,Punten!$A$2:$C$31,2,FALSE()),1)),0))))</f>
        <v>0</v>
      </c>
    </row>
    <row r="27" spans="1:9" x14ac:dyDescent="0.25">
      <c r="A27" s="12"/>
      <c r="B27" s="13"/>
      <c r="C27" s="17"/>
      <c r="D27" s="13"/>
      <c r="E27" s="13"/>
      <c r="F27" s="13"/>
      <c r="G27" s="15"/>
      <c r="H27" s="15"/>
      <c r="I27" s="16">
        <f>IF(C27="",0,IF(OR(A27="",A27="DNS"),0,IF(A27="DNF",1,IF(ISNUMBER(A27),IF($I$2="J",IF(A27&lt;=11,VLOOKUP(A27,Punten!$A$2:$C$31,3,FALSE()),1),IF(A27&lt;=30,VLOOKUP(A27,Punten!$A$2:$C$31,2,FALSE()),1)),0))))</f>
        <v>0</v>
      </c>
    </row>
    <row r="28" spans="1:9" x14ac:dyDescent="0.25">
      <c r="A28" s="12"/>
      <c r="B28" s="13"/>
      <c r="C28" s="17"/>
      <c r="D28" s="13"/>
      <c r="E28" s="13"/>
      <c r="F28" s="13"/>
      <c r="G28" s="15"/>
      <c r="H28" s="15"/>
      <c r="I28" s="16">
        <f>IF(C28="",0,IF(OR(A28="",A28="DNS"),0,IF(A28="DNF",1,IF(ISNUMBER(A28),IF($I$2="J",IF(A28&lt;=11,VLOOKUP(A28,Punten!$A$2:$C$31,3,FALSE()),1),IF(A28&lt;=30,VLOOKUP(A28,Punten!$A$2:$C$31,2,FALSE()),1)),0))))</f>
        <v>0</v>
      </c>
    </row>
    <row r="29" spans="1:9" x14ac:dyDescent="0.25">
      <c r="A29" s="12"/>
      <c r="B29" s="13"/>
      <c r="C29" s="17"/>
      <c r="D29" s="13"/>
      <c r="E29" s="13"/>
      <c r="F29" s="13"/>
      <c r="G29" s="15"/>
      <c r="H29" s="15"/>
      <c r="I29" s="16">
        <f>IF(C29="",0,IF(OR(A29="",A29="DNS"),0,IF(A29="DNF",1,IF(ISNUMBER(A29),IF($I$2="J",IF(A29&lt;=11,VLOOKUP(A29,Punten!$A$2:$C$31,3,FALSE()),1),IF(A29&lt;=30,VLOOKUP(A29,Punten!$A$2:$C$31,2,FALSE()),1)),0))))</f>
        <v>0</v>
      </c>
    </row>
    <row r="30" spans="1:9" x14ac:dyDescent="0.25">
      <c r="A30" s="12"/>
      <c r="B30" s="13"/>
      <c r="C30" s="17"/>
      <c r="D30" s="13"/>
      <c r="E30" s="13"/>
      <c r="F30" s="13"/>
      <c r="G30" s="15"/>
      <c r="H30" s="15"/>
      <c r="I30" s="16">
        <f>IF(C30="",0,IF(OR(A30="",A30="DNS"),0,IF(A30="DNF",1,IF(ISNUMBER(A30),IF($I$2="J",IF(A30&lt;=11,VLOOKUP(A30,Punten!$A$2:$C$31,3,FALSE()),1),IF(A30&lt;=30,VLOOKUP(A30,Punten!$A$2:$C$31,2,FALSE()),1)),0))))</f>
        <v>0</v>
      </c>
    </row>
    <row r="31" spans="1:9" x14ac:dyDescent="0.25">
      <c r="A31" s="12"/>
      <c r="B31" s="13"/>
      <c r="C31" s="17"/>
      <c r="D31" s="13"/>
      <c r="E31" s="13"/>
      <c r="F31" s="13"/>
      <c r="G31" s="15"/>
      <c r="H31" s="15"/>
      <c r="I31" s="16">
        <f>IF(C31="",0,IF(OR(A31="",A31="DNS"),0,IF(A31="DNF",1,IF(ISNUMBER(A31),IF($I$2="J",IF(A31&lt;=11,VLOOKUP(A31,Punten!$A$2:$C$31,3,FALSE()),1),IF(A31&lt;=30,VLOOKUP(A31,Punten!$A$2:$C$31,2,FALSE()),1)),0))))</f>
        <v>0</v>
      </c>
    </row>
    <row r="32" spans="1:9" x14ac:dyDescent="0.25">
      <c r="A32" s="12"/>
      <c r="B32" s="13"/>
      <c r="C32" s="17"/>
      <c r="D32" s="13"/>
      <c r="E32" s="13"/>
      <c r="F32" s="13"/>
      <c r="G32" s="15"/>
      <c r="H32" s="15"/>
      <c r="I32" s="16">
        <f>IF(C32="",0,IF(OR(A32="",A32="DNS"),0,IF(A32="DNF",1,IF(ISNUMBER(A32),IF($I$2="J",IF(A32&lt;=11,VLOOKUP(A32,Punten!$A$2:$C$31,3,FALSE()),1),IF(A32&lt;=30,VLOOKUP(A32,Punten!$A$2:$C$31,2,FALSE()),1)),0))))</f>
        <v>0</v>
      </c>
    </row>
    <row r="33" spans="1:9" x14ac:dyDescent="0.25">
      <c r="A33" s="12"/>
      <c r="B33" s="13"/>
      <c r="C33" s="17"/>
      <c r="D33" s="13"/>
      <c r="E33" s="13"/>
      <c r="F33" s="13"/>
      <c r="G33" s="15"/>
      <c r="H33" s="15"/>
      <c r="I33" s="16">
        <f>IF(C33="",0,IF(OR(A33="",A33="DNS"),0,IF(A33="DNF",1,IF(ISNUMBER(A33),IF($I$2="J",IF(A33&lt;=11,VLOOKUP(A33,Punten!$A$2:$C$31,3,FALSE()),1),IF(A33&lt;=30,VLOOKUP(A33,Punten!$A$2:$C$31,2,FALSE()),1)),0))))</f>
        <v>0</v>
      </c>
    </row>
    <row r="34" spans="1:9" x14ac:dyDescent="0.25">
      <c r="A34" s="12"/>
      <c r="B34" s="13"/>
      <c r="C34" s="17"/>
      <c r="D34" s="13"/>
      <c r="E34" s="13"/>
      <c r="F34" s="13"/>
      <c r="G34" s="15"/>
      <c r="H34" s="15"/>
      <c r="I34" s="16">
        <f>IF(C34="",0,IF(OR(A34="",A34="DNS"),0,IF(A34="DNF",1,IF(ISNUMBER(A34),IF($I$2="J",IF(A34&lt;=11,VLOOKUP(A34,Punten!$A$2:$C$31,3,FALSE()),1),IF(A34&lt;=30,VLOOKUP(A34,Punten!$A$2:$C$31,2,FALSE()),1)),0))))</f>
        <v>0</v>
      </c>
    </row>
    <row r="35" spans="1:9" x14ac:dyDescent="0.25">
      <c r="A35" s="12"/>
      <c r="B35" s="13"/>
      <c r="C35" s="17"/>
      <c r="D35" s="13"/>
      <c r="E35" s="13"/>
      <c r="F35" s="13"/>
      <c r="G35" s="15"/>
      <c r="H35" s="15"/>
      <c r="I35" s="16">
        <f>IF(C35="",0,IF(OR(A35="",A35="DNS"),0,IF(A35="DNF",1,IF(ISNUMBER(A35),IF($I$2="J",IF(A35&lt;=11,VLOOKUP(A35,Punten!$A$2:$C$31,3,FALSE()),1),IF(A35&lt;=30,VLOOKUP(A35,Punten!$A$2:$C$31,2,FALSE()),1)),0))))</f>
        <v>0</v>
      </c>
    </row>
    <row r="36" spans="1:9" x14ac:dyDescent="0.25">
      <c r="A36" s="12"/>
      <c r="B36" s="13"/>
      <c r="C36" s="17"/>
      <c r="D36" s="13"/>
      <c r="E36" s="13"/>
      <c r="F36" s="13"/>
      <c r="G36" s="15"/>
      <c r="H36" s="15"/>
      <c r="I36" s="16">
        <f>IF(C36="",0,IF(OR(A36="",A36="DNS"),0,IF(A36="DNF",1,IF(ISNUMBER(A36),IF($I$2="J",IF(A36&lt;=11,VLOOKUP(A36,Punten!$A$2:$C$31,3,FALSE()),1),IF(A36&lt;=30,VLOOKUP(A36,Punten!$A$2:$C$31,2,FALSE()),1)),0))))</f>
        <v>0</v>
      </c>
    </row>
    <row r="37" spans="1:9" x14ac:dyDescent="0.25">
      <c r="A37" s="12"/>
      <c r="B37" s="13"/>
      <c r="C37" s="17"/>
      <c r="D37" s="13"/>
      <c r="E37" s="13"/>
      <c r="F37" s="13"/>
      <c r="G37" s="15"/>
      <c r="H37" s="15"/>
      <c r="I37" s="16">
        <f>IF(C37="",0,IF(OR(A37="",A37="DNS"),0,IF(A37="DNF",1,IF(ISNUMBER(A37),IF($I$2="J",IF(A37&lt;=11,VLOOKUP(A37,Punten!$A$2:$C$31,3,FALSE()),1),IF(A37&lt;=30,VLOOKUP(A37,Punten!$A$2:$C$31,2,FALSE()),1)),0))))</f>
        <v>0</v>
      </c>
    </row>
    <row r="38" spans="1:9" x14ac:dyDescent="0.25">
      <c r="A38" s="12"/>
      <c r="B38" s="13"/>
      <c r="C38" s="17"/>
      <c r="D38" s="13"/>
      <c r="E38" s="13"/>
      <c r="F38" s="13"/>
      <c r="G38" s="15"/>
      <c r="H38" s="15"/>
      <c r="I38" s="16">
        <f>IF(C38="",0,IF(OR(A38="",A38="DNS"),0,IF(A38="DNF",1,IF(ISNUMBER(A38),IF($I$2="J",IF(A38&lt;=11,VLOOKUP(A38,Punten!$A$2:$C$31,3,FALSE()),1),IF(A38&lt;=30,VLOOKUP(A38,Punten!$A$2:$C$31,2,FALSE()),1)),0))))</f>
        <v>0</v>
      </c>
    </row>
    <row r="39" spans="1:9" x14ac:dyDescent="0.25">
      <c r="A39" s="12"/>
      <c r="B39" s="13"/>
      <c r="C39" s="17"/>
      <c r="D39" s="13"/>
      <c r="E39" s="13"/>
      <c r="F39" s="13"/>
      <c r="G39" s="15"/>
      <c r="H39" s="15"/>
      <c r="I39" s="16">
        <f>IF(C39="",0,IF(OR(A39="",A39="DNS"),0,IF(A39="DNF",1,IF(ISNUMBER(A39),IF($I$2="J",IF(A39&lt;=11,VLOOKUP(A39,Punten!$A$2:$C$31,3,FALSE()),1),IF(A39&lt;=30,VLOOKUP(A39,Punten!$A$2:$C$31,2,FALSE()),1)),0))))</f>
        <v>0</v>
      </c>
    </row>
    <row r="40" spans="1:9" x14ac:dyDescent="0.25">
      <c r="A40" s="12"/>
      <c r="B40" s="13"/>
      <c r="C40" s="17"/>
      <c r="D40" s="13"/>
      <c r="E40" s="13"/>
      <c r="F40" s="13"/>
      <c r="G40" s="15"/>
      <c r="H40" s="15"/>
      <c r="I40" s="16">
        <f>IF(C40="",0,IF(OR(A40="",A40="DNS"),0,IF(A40="DNF",1,IF(ISNUMBER(A40),IF($I$2="J",IF(A40&lt;=11,VLOOKUP(A40,Punten!$A$2:$C$31,3,FALSE()),1),IF(A40&lt;=30,VLOOKUP(A40,Punten!$A$2:$C$31,2,FALSE()),1)),0))))</f>
        <v>0</v>
      </c>
    </row>
    <row r="41" spans="1:9" x14ac:dyDescent="0.25">
      <c r="A41" s="12"/>
      <c r="B41" s="13"/>
      <c r="C41" s="17"/>
      <c r="D41" s="13"/>
      <c r="E41" s="13"/>
      <c r="F41" s="13"/>
      <c r="G41" s="15"/>
      <c r="H41" s="15"/>
      <c r="I41" s="16">
        <f>IF(C41="",0,IF(OR(A41="",A41="DNS"),0,IF(A41="DNF",1,IF(ISNUMBER(A41),IF($I$2="J",IF(A41&lt;=11,VLOOKUP(A41,Punten!$A$2:$C$31,3,FALSE()),1),IF(A41&lt;=30,VLOOKUP(A41,Punten!$A$2:$C$31,2,FALSE()),1)),0))))</f>
        <v>0</v>
      </c>
    </row>
    <row r="42" spans="1:9" x14ac:dyDescent="0.25">
      <c r="A42" s="12"/>
      <c r="B42" s="13"/>
      <c r="C42" s="17"/>
      <c r="D42" s="13"/>
      <c r="E42" s="13"/>
      <c r="F42" s="13"/>
      <c r="G42" s="15"/>
      <c r="H42" s="15"/>
      <c r="I42" s="16">
        <f>IF(C42="",0,IF(OR(A42="",A42="DNS"),0,IF(A42="DNF",1,IF(ISNUMBER(A42),IF($I$2="J",IF(A42&lt;=11,VLOOKUP(A42,Punten!$A$2:$C$31,3,FALSE()),1),IF(A42&lt;=30,VLOOKUP(A42,Punten!$A$2:$C$31,2,FALSE()),1)),0))))</f>
        <v>0</v>
      </c>
    </row>
    <row r="43" spans="1:9" x14ac:dyDescent="0.25">
      <c r="A43" s="12"/>
      <c r="B43" s="13"/>
      <c r="C43" s="17"/>
      <c r="D43" s="13"/>
      <c r="E43" s="13"/>
      <c r="F43" s="13"/>
      <c r="G43" s="15"/>
      <c r="H43" s="15"/>
      <c r="I43" s="16">
        <f>IF(C43="",0,IF(OR(A43="",A43="DNS"),0,IF(A43="DNF",1,IF(ISNUMBER(A43),IF($I$2="J",IF(A43&lt;=11,VLOOKUP(A43,Punten!$A$2:$C$31,3,FALSE()),1),IF(A43&lt;=30,VLOOKUP(A43,Punten!$A$2:$C$31,2,FALSE()),1)),0))))</f>
        <v>0</v>
      </c>
    </row>
    <row r="44" spans="1:9" x14ac:dyDescent="0.25">
      <c r="A44" s="12"/>
      <c r="B44" s="13"/>
      <c r="C44" s="17"/>
      <c r="D44" s="13"/>
      <c r="E44" s="13"/>
      <c r="F44" s="13"/>
      <c r="G44" s="15"/>
      <c r="H44" s="15"/>
      <c r="I44" s="16">
        <f>IF(C44="",0,IF(OR(A44="",A44="DNS"),0,IF(A44="DNF",1,IF(ISNUMBER(A44),IF($I$2="J",IF(A44&lt;=11,VLOOKUP(A44,Punten!$A$2:$C$31,3,FALSE()),1),IF(A44&lt;=30,VLOOKUP(A44,Punten!$A$2:$C$31,2,FALSE()),1)),0))))</f>
        <v>0</v>
      </c>
    </row>
    <row r="45" spans="1:9" x14ac:dyDescent="0.25">
      <c r="A45" s="12"/>
      <c r="B45" s="13"/>
      <c r="C45" s="17"/>
      <c r="D45" s="13"/>
      <c r="E45" s="13"/>
      <c r="F45" s="13"/>
      <c r="G45" s="15"/>
      <c r="H45" s="15"/>
      <c r="I45" s="16">
        <f>IF(C45="",0,IF(OR(A45="",A45="DNS"),0,IF(A45="DNF",1,IF(ISNUMBER(A45),IF($I$2="J",IF(A45&lt;=11,VLOOKUP(A45,Punten!$A$2:$C$31,3,FALSE()),1),IF(A45&lt;=30,VLOOKUP(A45,Punten!$A$2:$C$31,2,FALSE()),1)),0))))</f>
        <v>0</v>
      </c>
    </row>
    <row r="46" spans="1:9" x14ac:dyDescent="0.25">
      <c r="A46" s="12"/>
      <c r="B46" s="13"/>
      <c r="C46" s="17"/>
      <c r="D46" s="13"/>
      <c r="E46" s="13"/>
      <c r="F46" s="13"/>
      <c r="G46" s="15"/>
      <c r="H46" s="15"/>
      <c r="I46" s="16">
        <f>IF(C46="",0,IF(OR(A46="",A46="DNS"),0,IF(A46="DNF",1,IF(ISNUMBER(A46),IF($I$2="J",IF(A46&lt;=11,VLOOKUP(A46,Punten!$A$2:$C$31,3,FALSE()),1),IF(A46&lt;=30,VLOOKUP(A46,Punten!$A$2:$C$31,2,FALSE()),1)),0))))</f>
        <v>0</v>
      </c>
    </row>
    <row r="47" spans="1:9" x14ac:dyDescent="0.25">
      <c r="A47" s="12"/>
      <c r="B47" s="13"/>
      <c r="C47" s="17"/>
      <c r="D47" s="13"/>
      <c r="E47" s="13"/>
      <c r="F47" s="13"/>
      <c r="G47" s="15"/>
      <c r="H47" s="15"/>
      <c r="I47" s="16">
        <f>IF(C47="",0,IF(OR(A47="",A47="DNS"),0,IF(A47="DNF",1,IF(ISNUMBER(A47),IF($I$2="J",IF(A47&lt;=11,VLOOKUP(A47,Punten!$A$2:$C$31,3,FALSE()),1),IF(A47&lt;=30,VLOOKUP(A47,Punten!$A$2:$C$31,2,FALSE()),1)),0))))</f>
        <v>0</v>
      </c>
    </row>
    <row r="48" spans="1:9" x14ac:dyDescent="0.25">
      <c r="A48" s="12"/>
      <c r="B48" s="13"/>
      <c r="C48" s="17"/>
      <c r="D48" s="13"/>
      <c r="E48" s="13"/>
      <c r="F48" s="13"/>
      <c r="G48" s="15"/>
      <c r="H48" s="15"/>
      <c r="I48" s="16">
        <f>IF(C48="",0,IF(OR(A48="",A48="DNS"),0,IF(A48="DNF",1,IF(ISNUMBER(A48),IF($I$2="J",IF(A48&lt;=11,VLOOKUP(A48,Punten!$A$2:$C$31,3,FALSE()),1),IF(A48&lt;=30,VLOOKUP(A48,Punten!$A$2:$C$31,2,FALSE()),1)),0))))</f>
        <v>0</v>
      </c>
    </row>
    <row r="49" spans="1:9" x14ac:dyDescent="0.25">
      <c r="A49" s="12"/>
      <c r="B49" s="13"/>
      <c r="C49" s="17"/>
      <c r="D49" s="13"/>
      <c r="E49" s="13"/>
      <c r="F49" s="13"/>
      <c r="G49" s="15"/>
      <c r="H49" s="15"/>
      <c r="I49" s="16">
        <f>IF(C49="",0,IF(OR(A49="",A49="DNS"),0,IF(A49="DNF",1,IF(ISNUMBER(A49),IF($I$2="J",IF(A49&lt;=11,VLOOKUP(A49,Punten!$A$2:$C$31,3,FALSE()),1),IF(A49&lt;=30,VLOOKUP(A49,Punten!$A$2:$C$31,2,FALSE()),1)),0))))</f>
        <v>0</v>
      </c>
    </row>
    <row r="50" spans="1:9" x14ac:dyDescent="0.25">
      <c r="A50" s="12"/>
      <c r="B50" s="13"/>
      <c r="C50" s="17"/>
      <c r="D50" s="13"/>
      <c r="E50" s="13"/>
      <c r="F50" s="13"/>
      <c r="G50" s="15"/>
      <c r="H50" s="15"/>
      <c r="I50" s="16">
        <f>IF(C50="",0,IF(OR(A50="",A50="DNS"),0,IF(A50="DNF",1,IF(ISNUMBER(A50),IF($I$2="J",IF(A50&lt;=11,VLOOKUP(A50,Punten!$A$2:$C$31,3,FALSE()),1),IF(A50&lt;=30,VLOOKUP(A50,Punten!$A$2:$C$31,2,FALSE()),1)),0))))</f>
        <v>0</v>
      </c>
    </row>
    <row r="51" spans="1:9" x14ac:dyDescent="0.25">
      <c r="A51" s="12"/>
      <c r="B51" s="13"/>
      <c r="C51" s="17"/>
      <c r="D51" s="13"/>
      <c r="E51" s="13"/>
      <c r="F51" s="13"/>
      <c r="G51" s="15"/>
      <c r="H51" s="15"/>
      <c r="I51" s="16">
        <f>IF(C51="",0,IF(OR(A51="",A51="DNS"),0,IF(A51="DNF",1,IF(ISNUMBER(A51),IF($I$2="J",IF(A51&lt;=11,VLOOKUP(A51,Punten!$A$2:$C$31,3,FALSE()),1),IF(A51&lt;=30,VLOOKUP(A51,Punten!$A$2:$C$31,2,FALSE()),1)),0))))</f>
        <v>0</v>
      </c>
    </row>
    <row r="52" spans="1:9" x14ac:dyDescent="0.25">
      <c r="A52" s="12"/>
      <c r="B52" s="13"/>
      <c r="C52" s="17"/>
      <c r="D52" s="13"/>
      <c r="E52" s="13"/>
      <c r="F52" s="13"/>
      <c r="G52" s="15"/>
      <c r="H52" s="15"/>
      <c r="I52" s="16">
        <f>IF(C52="",0,IF(OR(A52="",A52="DNS"),0,IF(A52="DNF",1,IF(ISNUMBER(A52),IF($I$2="J",IF(A52&lt;=11,VLOOKUP(A52,Punten!$A$2:$C$31,3,FALSE()),1),IF(A52&lt;=30,VLOOKUP(A52,Punten!$A$2:$C$31,2,FALSE()),1)),0))))</f>
        <v>0</v>
      </c>
    </row>
    <row r="53" spans="1:9" x14ac:dyDescent="0.25">
      <c r="A53" s="12"/>
      <c r="B53" s="13"/>
      <c r="C53" s="17"/>
      <c r="D53" s="13"/>
      <c r="E53" s="13"/>
      <c r="F53" s="13"/>
      <c r="G53" s="15"/>
      <c r="H53" s="15"/>
      <c r="I53" s="16">
        <f>IF(C53="",0,IF(OR(A53="",A53="DNS"),0,IF(A53="DNF",1,IF(ISNUMBER(A53),IF($I$2="J",IF(A53&lt;=11,VLOOKUP(A53,Punten!$A$2:$C$31,3,FALSE()),1),IF(A53&lt;=30,VLOOKUP(A53,Punten!$A$2:$C$31,2,FALSE()),1)),0))))</f>
        <v>0</v>
      </c>
    </row>
    <row r="54" spans="1:9" x14ac:dyDescent="0.25">
      <c r="A54" s="12"/>
      <c r="B54" s="13"/>
      <c r="C54" s="17"/>
      <c r="D54" s="13"/>
      <c r="E54" s="13"/>
      <c r="F54" s="13"/>
      <c r="G54" s="15"/>
      <c r="H54" s="15"/>
      <c r="I54" s="16">
        <f>IF(C54="",0,IF(OR(A54="",A54="DNS"),0,IF(A54="DNF",1,IF(ISNUMBER(A54),IF($I$2="J",IF(A54&lt;=11,VLOOKUP(A54,Punten!$A$2:$C$31,3,FALSE()),1),IF(A54&lt;=30,VLOOKUP(A54,Punten!$A$2:$C$31,2,FALSE()),1)),0))))</f>
        <v>0</v>
      </c>
    </row>
    <row r="55" spans="1:9" x14ac:dyDescent="0.25">
      <c r="A55" s="12"/>
      <c r="B55" s="13"/>
      <c r="C55" s="17"/>
      <c r="D55" s="13"/>
      <c r="E55" s="13"/>
      <c r="F55" s="13"/>
      <c r="G55" s="15"/>
      <c r="H55" s="15"/>
      <c r="I55" s="16">
        <f>IF(C55="",0,IF(OR(A55="",A55="DNS"),0,IF(A55="DNF",1,IF(ISNUMBER(A55),IF($I$2="J",IF(A55&lt;=11,VLOOKUP(A55,Punten!$A$2:$C$31,3,FALSE()),1),IF(A55&lt;=30,VLOOKUP(A55,Punten!$A$2:$C$31,2,FALSE()),1)),0))))</f>
        <v>0</v>
      </c>
    </row>
    <row r="56" spans="1:9" x14ac:dyDescent="0.25">
      <c r="A56" s="12"/>
      <c r="B56" s="13"/>
      <c r="C56" s="17"/>
      <c r="D56" s="13"/>
      <c r="E56" s="13"/>
      <c r="F56" s="13"/>
      <c r="G56" s="15"/>
      <c r="H56" s="15"/>
      <c r="I56" s="16">
        <f>IF(C56="",0,IF(OR(A56="",A56="DNS"),0,IF(A56="DNF",1,IF(ISNUMBER(A56),IF($I$2="J",IF(A56&lt;=11,VLOOKUP(A56,Punten!$A$2:$C$31,3,FALSE()),1),IF(A56&lt;=30,VLOOKUP(A56,Punten!$A$2:$C$31,2,FALSE()),1)),0))))</f>
        <v>0</v>
      </c>
    </row>
    <row r="57" spans="1:9" x14ac:dyDescent="0.25">
      <c r="A57" s="12"/>
      <c r="B57" s="13"/>
      <c r="C57" s="17"/>
      <c r="D57" s="13"/>
      <c r="E57" s="13"/>
      <c r="F57" s="13"/>
      <c r="G57" s="15"/>
      <c r="H57" s="15"/>
      <c r="I57" s="16">
        <f>IF(C57="",0,IF(OR(A57="",A57="DNS"),0,IF(A57="DNF",1,IF(ISNUMBER(A57),IF($I$2="J",IF(A57&lt;=11,VLOOKUP(A57,Punten!$A$2:$C$31,3,FALSE()),1),IF(A57&lt;=30,VLOOKUP(A57,Punten!$A$2:$C$31,2,FALSE()),1)),0))))</f>
        <v>0</v>
      </c>
    </row>
    <row r="58" spans="1:9" x14ac:dyDescent="0.25">
      <c r="A58" s="12"/>
      <c r="B58" s="13"/>
      <c r="C58" s="17"/>
      <c r="D58" s="13"/>
      <c r="E58" s="13"/>
      <c r="F58" s="13"/>
      <c r="G58" s="15"/>
      <c r="H58" s="15"/>
      <c r="I58" s="16">
        <f>IF(C58="",0,IF(OR(A58="",A58="DNS"),0,IF(A58="DNF",1,IF(ISNUMBER(A58),IF($I$2="J",IF(A58&lt;=11,VLOOKUP(A58,Punten!$A$2:$C$31,3,FALSE()),1),IF(A58&lt;=30,VLOOKUP(A58,Punten!$A$2:$C$31,2,FALSE()),1)),0))))</f>
        <v>0</v>
      </c>
    </row>
    <row r="59" spans="1:9" x14ac:dyDescent="0.25">
      <c r="A59" s="12"/>
      <c r="B59" s="13"/>
      <c r="C59" s="17"/>
      <c r="D59" s="13"/>
      <c r="E59" s="13"/>
      <c r="F59" s="13"/>
      <c r="G59" s="15"/>
      <c r="H59" s="15"/>
      <c r="I59" s="16">
        <f>IF(C59="",0,IF(OR(A59="",A59="DNS"),0,IF(A59="DNF",1,IF(ISNUMBER(A59),IF($I$2="J",IF(A59&lt;=11,VLOOKUP(A59,Punten!$A$2:$C$31,3,FALSE()),1),IF(A59&lt;=30,VLOOKUP(A59,Punten!$A$2:$C$31,2,FALSE()),1)),0))))</f>
        <v>0</v>
      </c>
    </row>
    <row r="60" spans="1:9" x14ac:dyDescent="0.25">
      <c r="A60" s="12"/>
      <c r="B60" s="13"/>
      <c r="C60" s="17"/>
      <c r="D60" s="13"/>
      <c r="E60" s="13"/>
      <c r="F60" s="13"/>
      <c r="G60" s="15"/>
      <c r="H60" s="15"/>
      <c r="I60" s="16">
        <f>IF(C60="",0,IF(OR(A60="",A60="DNS"),0,IF(A60="DNF",1,IF(ISNUMBER(A60),IF($I$2="J",IF(A60&lt;=11,VLOOKUP(A60,Punten!$A$2:$C$31,3,FALSE()),1),IF(A60&lt;=30,VLOOKUP(A60,Punten!$A$2:$C$31,2,FALSE()),1)),0))))</f>
        <v>0</v>
      </c>
    </row>
    <row r="61" spans="1:9" x14ac:dyDescent="0.25">
      <c r="A61" s="12"/>
      <c r="B61" s="13"/>
      <c r="C61" s="17"/>
      <c r="D61" s="13"/>
      <c r="E61" s="13"/>
      <c r="F61" s="13"/>
      <c r="G61" s="15"/>
      <c r="H61" s="15"/>
      <c r="I61" s="16">
        <f>IF(C61="",0,IF(OR(A61="",A61="DNS"),0,IF(A61="DNF",1,IF(ISNUMBER(A61),IF($I$2="J",IF(A61&lt;=11,VLOOKUP(A61,Punten!$A$2:$C$31,3,FALSE()),1),IF(A61&lt;=30,VLOOKUP(A61,Punten!$A$2:$C$31,2,FALSE()),1)),0))))</f>
        <v>0</v>
      </c>
    </row>
    <row r="62" spans="1:9" x14ac:dyDescent="0.25">
      <c r="A62" s="12"/>
      <c r="B62" s="13"/>
      <c r="C62" s="17"/>
      <c r="D62" s="13"/>
      <c r="E62" s="13"/>
      <c r="F62" s="13"/>
      <c r="G62" s="15"/>
      <c r="H62" s="15"/>
      <c r="I62" s="16">
        <f>IF(C62="",0,IF(OR(A62="",A62="DNS"),0,IF(A62="DNF",1,IF(ISNUMBER(A62),IF($I$2="J",IF(A62&lt;=11,VLOOKUP(A62,Punten!$A$2:$C$31,3,FALSE()),1),IF(A62&lt;=30,VLOOKUP(A62,Punten!$A$2:$C$31,2,FALSE()),1)),0))))</f>
        <v>0</v>
      </c>
    </row>
    <row r="63" spans="1:9" x14ac:dyDescent="0.25">
      <c r="A63" s="12"/>
      <c r="B63" s="13"/>
      <c r="C63" s="17"/>
      <c r="D63" s="13"/>
      <c r="E63" s="13"/>
      <c r="F63" s="13"/>
      <c r="G63" s="15"/>
      <c r="H63" s="15"/>
      <c r="I63" s="16">
        <f>IF(C63="",0,IF(OR(A63="",A63="DNS"),0,IF(A63="DNF",1,IF(ISNUMBER(A63),IF($I$2="J",IF(A63&lt;=11,VLOOKUP(A63,Punten!$A$2:$C$31,3,FALSE()),1),IF(A63&lt;=30,VLOOKUP(A63,Punten!$A$2:$C$31,2,FALSE()),1)),0))))</f>
        <v>0</v>
      </c>
    </row>
    <row r="64" spans="1:9" x14ac:dyDescent="0.25">
      <c r="A64" s="12"/>
      <c r="B64" s="13"/>
      <c r="C64" s="17"/>
      <c r="D64" s="13"/>
      <c r="E64" s="13"/>
      <c r="F64" s="13"/>
      <c r="G64" s="15"/>
      <c r="H64" s="15"/>
      <c r="I64" s="16">
        <f>IF(C64="",0,IF(OR(A64="",A64="DNS"),0,IF(A64="DNF",1,IF(ISNUMBER(A64),IF($I$2="J",IF(A64&lt;=11,VLOOKUP(A64,Punten!$A$2:$C$31,3,FALSE()),1),IF(A64&lt;=30,VLOOKUP(A64,Punten!$A$2:$C$31,2,FALSE()),1)),0))))</f>
        <v>0</v>
      </c>
    </row>
    <row r="65" spans="1:9" x14ac:dyDescent="0.25">
      <c r="A65" s="12"/>
      <c r="B65" s="13"/>
      <c r="C65" s="17"/>
      <c r="D65" s="13"/>
      <c r="E65" s="13"/>
      <c r="F65" s="13"/>
      <c r="G65" s="15"/>
      <c r="H65" s="15"/>
      <c r="I65" s="16">
        <f>IF(C65="",0,IF(OR(A65="",A65="DNS"),0,IF(A65="DNF",1,IF(ISNUMBER(A65),IF($I$2="J",IF(A65&lt;=11,VLOOKUP(A65,Punten!$A$2:$C$31,3,FALSE()),1),IF(A65&lt;=30,VLOOKUP(A65,Punten!$A$2:$C$31,2,FALSE()),1)),0))))</f>
        <v>0</v>
      </c>
    </row>
    <row r="66" spans="1:9" x14ac:dyDescent="0.25">
      <c r="A66" s="12"/>
      <c r="B66" s="13"/>
      <c r="C66" s="17"/>
      <c r="D66" s="13"/>
      <c r="E66" s="13"/>
      <c r="F66" s="13"/>
      <c r="G66" s="15"/>
      <c r="H66" s="15"/>
      <c r="I66" s="16">
        <f>IF(C66="",0,IF(OR(A66="",A66="DNS"),0,IF(A66="DNF",1,IF(ISNUMBER(A66),IF($I$2="J",IF(A66&lt;=11,VLOOKUP(A66,Punten!$A$2:$C$31,3,FALSE()),1),IF(A66&lt;=30,VLOOKUP(A66,Punten!$A$2:$C$31,2,FALSE()),1)),0))))</f>
        <v>0</v>
      </c>
    </row>
    <row r="67" spans="1:9" x14ac:dyDescent="0.25">
      <c r="A67" s="12"/>
      <c r="B67" s="13"/>
      <c r="C67" s="17"/>
      <c r="D67" s="13"/>
      <c r="E67" s="13"/>
      <c r="F67" s="13"/>
      <c r="G67" s="15"/>
      <c r="H67" s="15"/>
      <c r="I67" s="16">
        <f>IF(C67="",0,IF(OR(A67="",A67="DNS"),0,IF(A67="DNF",1,IF(ISNUMBER(A67),IF($I$2="J",IF(A67&lt;=11,VLOOKUP(A67,Punten!$A$2:$C$31,3,FALSE()),1),IF(A67&lt;=30,VLOOKUP(A67,Punten!$A$2:$C$31,2,FALSE()),1)),0))))</f>
        <v>0</v>
      </c>
    </row>
    <row r="68" spans="1:9" x14ac:dyDescent="0.25">
      <c r="A68" s="12"/>
      <c r="B68" s="13"/>
      <c r="C68" s="17"/>
      <c r="D68" s="13"/>
      <c r="E68" s="13"/>
      <c r="F68" s="13"/>
      <c r="G68" s="15"/>
      <c r="H68" s="15"/>
      <c r="I68" s="16">
        <f>IF(C68="",0,IF(OR(A68="",A68="DNS"),0,IF(A68="DNF",1,IF(ISNUMBER(A68),IF($I$2="J",IF(A68&lt;=11,VLOOKUP(A68,Punten!$A$2:$C$31,3,FALSE()),1),IF(A68&lt;=30,VLOOKUP(A68,Punten!$A$2:$C$31,2,FALSE()),1)),0))))</f>
        <v>0</v>
      </c>
    </row>
    <row r="69" spans="1:9" x14ac:dyDescent="0.25">
      <c r="A69" s="12"/>
      <c r="B69" s="13"/>
      <c r="C69" s="17"/>
      <c r="D69" s="13"/>
      <c r="E69" s="13"/>
      <c r="F69" s="13"/>
      <c r="G69" s="15"/>
      <c r="H69" s="15"/>
      <c r="I69" s="16">
        <f>IF(C69="",0,IF(OR(A69="",A69="DNS"),0,IF(A69="DNF",1,IF(ISNUMBER(A69),IF($I$2="J",IF(A69&lt;=11,VLOOKUP(A69,Punten!$A$2:$C$31,3,FALSE()),1),IF(A69&lt;=30,VLOOKUP(A69,Punten!$A$2:$C$31,2,FALSE()),1)),0))))</f>
        <v>0</v>
      </c>
    </row>
    <row r="70" spans="1:9" x14ac:dyDescent="0.25">
      <c r="A70" s="12"/>
      <c r="B70" s="13"/>
      <c r="C70" s="17"/>
      <c r="D70" s="13"/>
      <c r="E70" s="13"/>
      <c r="F70" s="13"/>
      <c r="G70" s="15"/>
      <c r="H70" s="15"/>
      <c r="I70" s="16">
        <f>IF(C70="",0,IF(OR(A70="",A70="DNS"),0,IF(A70="DNF",1,IF(ISNUMBER(A70),IF($I$2="J",IF(A70&lt;=11,VLOOKUP(A70,Punten!$A$2:$C$31,3,FALSE()),1),IF(A70&lt;=30,VLOOKUP(A70,Punten!$A$2:$C$31,2,FALSE()),1)),0))))</f>
        <v>0</v>
      </c>
    </row>
    <row r="71" spans="1:9" x14ac:dyDescent="0.25">
      <c r="A71" s="12"/>
      <c r="B71" s="13"/>
      <c r="C71" s="17"/>
      <c r="D71" s="13"/>
      <c r="E71" s="13"/>
      <c r="F71" s="13"/>
      <c r="G71" s="15"/>
      <c r="H71" s="15"/>
      <c r="I71" s="16">
        <f>IF(C71="",0,IF(OR(A71="",A71="DNS"),0,IF(A71="DNF",1,IF(ISNUMBER(A71),IF($I$2="J",IF(A71&lt;=11,VLOOKUP(A71,Punten!$A$2:$C$31,3,FALSE()),1),IF(A71&lt;=30,VLOOKUP(A71,Punten!$A$2:$C$31,2,FALSE()),1)),0))))</f>
        <v>0</v>
      </c>
    </row>
    <row r="72" spans="1:9" x14ac:dyDescent="0.25">
      <c r="A72" s="12"/>
      <c r="B72" s="13"/>
      <c r="C72" s="17"/>
      <c r="D72" s="13"/>
      <c r="E72" s="13"/>
      <c r="F72" s="13"/>
      <c r="G72" s="15"/>
      <c r="H72" s="15"/>
      <c r="I72" s="16">
        <f>IF(C72="",0,IF(OR(A72="",A72="DNS"),0,IF(A72="DNF",1,IF(ISNUMBER(A72),IF($I$2="J",IF(A72&lt;=11,VLOOKUP(A72,Punten!$A$2:$C$31,3,FALSE()),1),IF(A72&lt;=30,VLOOKUP(A72,Punten!$A$2:$C$31,2,FALSE()),1)),0))))</f>
        <v>0</v>
      </c>
    </row>
    <row r="73" spans="1:9" x14ac:dyDescent="0.25">
      <c r="A73" s="12"/>
      <c r="B73" s="13"/>
      <c r="C73" s="17"/>
      <c r="D73" s="13"/>
      <c r="E73" s="13"/>
      <c r="F73" s="13"/>
      <c r="G73" s="15"/>
      <c r="H73" s="15"/>
      <c r="I73" s="16">
        <f>IF(C73="",0,IF(OR(A73="",A73="DNS"),0,IF(A73="DNF",1,IF(ISNUMBER(A73),IF($I$2="J",IF(A73&lt;=11,VLOOKUP(A73,Punten!$A$2:$C$31,3,FALSE()),1),IF(A73&lt;=30,VLOOKUP(A73,Punten!$A$2:$C$31,2,FALSE()),1)),0))))</f>
        <v>0</v>
      </c>
    </row>
    <row r="74" spans="1:9" x14ac:dyDescent="0.25">
      <c r="A74" s="12"/>
      <c r="B74" s="13"/>
      <c r="C74" s="17"/>
      <c r="D74" s="13"/>
      <c r="E74" s="13"/>
      <c r="F74" s="13"/>
      <c r="G74" s="15"/>
      <c r="H74" s="15"/>
      <c r="I74" s="16">
        <f>IF(C74="",0,IF(OR(A74="",A74="DNS"),0,IF(A74="DNF",1,IF(ISNUMBER(A74),IF($I$2="J",IF(A74&lt;=11,VLOOKUP(A74,Punten!$A$2:$C$31,3,FALSE()),1),IF(A74&lt;=30,VLOOKUP(A74,Punten!$A$2:$C$31,2,FALSE()),1)),0))))</f>
        <v>0</v>
      </c>
    </row>
    <row r="75" spans="1:9" x14ac:dyDescent="0.25">
      <c r="A75" s="12"/>
      <c r="B75" s="13"/>
      <c r="C75" s="17"/>
      <c r="D75" s="13"/>
      <c r="E75" s="13"/>
      <c r="F75" s="13"/>
      <c r="G75" s="15"/>
      <c r="H75" s="15"/>
      <c r="I75" s="16">
        <f>IF(C75="",0,IF(OR(A75="",A75="DNS"),0,IF(A75="DNF",1,IF(ISNUMBER(A75),IF($I$2="J",IF(A75&lt;=11,VLOOKUP(A75,Punten!$A$2:$C$31,3,FALSE()),1),IF(A75&lt;=30,VLOOKUP(A75,Punten!$A$2:$C$31,2,FALSE()),1)),0))))</f>
        <v>0</v>
      </c>
    </row>
    <row r="76" spans="1:9" x14ac:dyDescent="0.25">
      <c r="A76" s="12"/>
      <c r="B76" s="13"/>
      <c r="C76" s="17"/>
      <c r="D76" s="13"/>
      <c r="E76" s="13"/>
      <c r="F76" s="13"/>
      <c r="G76" s="15"/>
      <c r="H76" s="15"/>
      <c r="I76" s="16">
        <f>IF(C76="",0,IF(OR(A76="",A76="DNS"),0,IF(A76="DNF",1,IF(ISNUMBER(A76),IF($I$2="J",IF(A76&lt;=11,VLOOKUP(A76,Punten!$A$2:$C$31,3,FALSE()),1),IF(A76&lt;=30,VLOOKUP(A76,Punten!$A$2:$C$31,2,FALSE()),1)),0))))</f>
        <v>0</v>
      </c>
    </row>
    <row r="77" spans="1:9" x14ac:dyDescent="0.25">
      <c r="A77" s="12"/>
      <c r="B77" s="13"/>
      <c r="C77" s="17"/>
      <c r="D77" s="13"/>
      <c r="E77" s="13"/>
      <c r="F77" s="13"/>
      <c r="G77" s="15"/>
      <c r="H77" s="15"/>
      <c r="I77" s="16">
        <f>IF(C77="",0,IF(OR(A77="",A77="DNS"),0,IF(A77="DNF",1,IF(ISNUMBER(A77),IF($I$2="J",IF(A77&lt;=11,VLOOKUP(A77,Punten!$A$2:$C$31,3,FALSE()),1),IF(A77&lt;=30,VLOOKUP(A77,Punten!$A$2:$C$31,2,FALSE()),1)),0))))</f>
        <v>0</v>
      </c>
    </row>
    <row r="78" spans="1:9" x14ac:dyDescent="0.25">
      <c r="A78" s="12"/>
      <c r="B78" s="13"/>
      <c r="C78" s="17"/>
      <c r="D78" s="13"/>
      <c r="E78" s="13"/>
      <c r="F78" s="13"/>
      <c r="G78" s="15"/>
      <c r="H78" s="15"/>
      <c r="I78" s="16">
        <f>IF(C78="",0,IF(OR(A78="",A78="DNS"),0,IF(A78="DNF",1,IF(ISNUMBER(A78),IF($I$2="J",IF(A78&lt;=11,VLOOKUP(A78,Punten!$A$2:$C$31,3,FALSE()),1),IF(A78&lt;=30,VLOOKUP(A78,Punten!$A$2:$C$31,2,FALSE()),1)),0))))</f>
        <v>0</v>
      </c>
    </row>
    <row r="79" spans="1:9" x14ac:dyDescent="0.25">
      <c r="A79" s="12"/>
      <c r="B79" s="13"/>
      <c r="C79" s="17"/>
      <c r="D79" s="13"/>
      <c r="E79" s="13"/>
      <c r="F79" s="13"/>
      <c r="G79" s="15"/>
      <c r="H79" s="15"/>
      <c r="I79" s="16">
        <f>IF(C79="",0,IF(OR(A79="",A79="DNS"),0,IF(A79="DNF",1,IF(ISNUMBER(A79),IF($I$2="J",IF(A79&lt;=11,VLOOKUP(A79,Punten!$A$2:$C$31,3,FALSE()),1),IF(A79&lt;=30,VLOOKUP(A79,Punten!$A$2:$C$31,2,FALSE()),1)),0))))</f>
        <v>0</v>
      </c>
    </row>
    <row r="80" spans="1:9" x14ac:dyDescent="0.25">
      <c r="A80" s="12"/>
      <c r="B80" s="13"/>
      <c r="C80" s="17"/>
      <c r="D80" s="13"/>
      <c r="E80" s="13"/>
      <c r="F80" s="13"/>
      <c r="G80" s="15"/>
      <c r="H80" s="15"/>
      <c r="I80" s="16">
        <f>IF(C80="",0,IF(OR(A80="",A80="DNS"),0,IF(A80="DNF",1,IF(ISNUMBER(A80),IF($I$2="J",IF(A80&lt;=11,VLOOKUP(A80,Punten!$A$2:$C$31,3,FALSE()),1),IF(A80&lt;=30,VLOOKUP(A80,Punten!$A$2:$C$31,2,FALSE()),1)),0))))</f>
        <v>0</v>
      </c>
    </row>
    <row r="81" spans="1:9" x14ac:dyDescent="0.25">
      <c r="A81" s="12"/>
      <c r="B81" s="13"/>
      <c r="C81" s="17"/>
      <c r="D81" s="13"/>
      <c r="E81" s="13"/>
      <c r="F81" s="13"/>
      <c r="G81" s="15"/>
      <c r="H81" s="15"/>
      <c r="I81" s="16">
        <f>IF(C81="",0,IF(OR(A81="",A81="DNS"),0,IF(A81="DNF",1,IF(ISNUMBER(A81),IF($I$2="J",IF(A81&lt;=11,VLOOKUP(A81,Punten!$A$2:$C$31,3,FALSE()),1),IF(A81&lt;=30,VLOOKUP(A81,Punten!$A$2:$C$31,2,FALSE()),1)),0))))</f>
        <v>0</v>
      </c>
    </row>
    <row r="82" spans="1:9" x14ac:dyDescent="0.25">
      <c r="A82" s="12"/>
      <c r="B82" s="13"/>
      <c r="C82" s="17"/>
      <c r="D82" s="13"/>
      <c r="E82" s="13"/>
      <c r="F82" s="13"/>
      <c r="G82" s="15"/>
      <c r="H82" s="15"/>
      <c r="I82" s="16">
        <f>IF(C82="",0,IF(OR(A82="",A82="DNS"),0,IF(A82="DNF",1,IF(ISNUMBER(A82),IF($I$2="J",IF(A82&lt;=11,VLOOKUP(A82,Punten!$A$2:$C$31,3,FALSE()),1),IF(A82&lt;=30,VLOOKUP(A82,Punten!$A$2:$C$31,2,FALSE()),1)),0))))</f>
        <v>0</v>
      </c>
    </row>
    <row r="83" spans="1:9" x14ac:dyDescent="0.25">
      <c r="A83" s="12"/>
      <c r="B83" s="13"/>
      <c r="C83" s="17"/>
      <c r="D83" s="13"/>
      <c r="E83" s="13"/>
      <c r="F83" s="13"/>
      <c r="G83" s="15"/>
      <c r="H83" s="15"/>
      <c r="I83" s="16">
        <f>IF(C83="",0,IF(OR(A83="",A83="DNS"),0,IF(A83="DNF",1,IF(ISNUMBER(A83),IF($I$2="J",IF(A83&lt;=11,VLOOKUP(A83,Punten!$A$2:$C$31,3,FALSE()),1),IF(A83&lt;=30,VLOOKUP(A83,Punten!$A$2:$C$31,2,FALSE()),1)),0))))</f>
        <v>0</v>
      </c>
    </row>
    <row r="84" spans="1:9" x14ac:dyDescent="0.25">
      <c r="A84" s="12"/>
      <c r="B84" s="13"/>
      <c r="C84" s="17"/>
      <c r="D84" s="13"/>
      <c r="E84" s="13"/>
      <c r="F84" s="13"/>
      <c r="G84" s="15"/>
      <c r="H84" s="15"/>
      <c r="I84" s="16">
        <f>IF(C84="",0,IF(OR(A84="",A84="DNS"),0,IF(A84="DNF",1,IF(ISNUMBER(A84),IF($I$2="J",IF(A84&lt;=11,VLOOKUP(A84,Punten!$A$2:$C$31,3,FALSE()),1),IF(A84&lt;=30,VLOOKUP(A84,Punten!$A$2:$C$31,2,FALSE()),1)),0))))</f>
        <v>0</v>
      </c>
    </row>
    <row r="85" spans="1:9" x14ac:dyDescent="0.25">
      <c r="A85" s="12"/>
      <c r="B85" s="13"/>
      <c r="C85" s="17"/>
      <c r="D85" s="13"/>
      <c r="E85" s="13"/>
      <c r="F85" s="13"/>
      <c r="G85" s="15"/>
      <c r="H85" s="15"/>
      <c r="I85" s="16">
        <f>IF(C85="",0,IF(OR(A85="",A85="DNS"),0,IF(A85="DNF",1,IF(ISNUMBER(A85),IF($I$2="J",IF(A85&lt;=11,VLOOKUP(A85,Punten!$A$2:$C$31,3,FALSE()),1),IF(A85&lt;=30,VLOOKUP(A85,Punten!$A$2:$C$31,2,FALSE()),1)),0))))</f>
        <v>0</v>
      </c>
    </row>
    <row r="86" spans="1:9" x14ac:dyDescent="0.25">
      <c r="A86" s="12"/>
      <c r="B86" s="13"/>
      <c r="C86" s="17"/>
      <c r="D86" s="13"/>
      <c r="E86" s="13"/>
      <c r="F86" s="13"/>
      <c r="G86" s="15"/>
      <c r="H86" s="15"/>
      <c r="I86" s="16">
        <f>IF(C86="",0,IF(OR(A86="",A86="DNS"),0,IF(A86="DNF",1,IF(ISNUMBER(A86),IF($I$2="J",IF(A86&lt;=11,VLOOKUP(A86,Punten!$A$2:$C$31,3,FALSE()),1),IF(A86&lt;=30,VLOOKUP(A86,Punten!$A$2:$C$31,2,FALSE()),1)),0))))</f>
        <v>0</v>
      </c>
    </row>
    <row r="87" spans="1:9" x14ac:dyDescent="0.25">
      <c r="A87" s="12"/>
      <c r="B87" s="13"/>
      <c r="C87" s="17"/>
      <c r="D87" s="13"/>
      <c r="E87" s="13"/>
      <c r="F87" s="13"/>
      <c r="G87" s="15"/>
      <c r="H87" s="15"/>
      <c r="I87" s="16">
        <f>IF(C87="",0,IF(OR(A87="",A87="DNS"),0,IF(A87="DNF",1,IF(ISNUMBER(A87),IF($I$2="J",IF(A87&lt;=11,VLOOKUP(A87,Punten!$A$2:$C$31,3,FALSE()),1),IF(A87&lt;=30,VLOOKUP(A87,Punten!$A$2:$C$31,2,FALSE()),1)),0))))</f>
        <v>0</v>
      </c>
    </row>
    <row r="88" spans="1:9" x14ac:dyDescent="0.25">
      <c r="A88" s="12"/>
      <c r="B88" s="13"/>
      <c r="C88" s="17"/>
      <c r="D88" s="13"/>
      <c r="E88" s="13"/>
      <c r="F88" s="13"/>
      <c r="G88" s="15"/>
      <c r="H88" s="15"/>
      <c r="I88" s="16">
        <f>IF(C88="",0,IF(OR(A88="",A88="DNS"),0,IF(A88="DNF",1,IF(ISNUMBER(A88),IF($I$2="J",IF(A88&lt;=11,VLOOKUP(A88,Punten!$A$2:$C$31,3,FALSE()),1),IF(A88&lt;=30,VLOOKUP(A88,Punten!$A$2:$C$31,2,FALSE()),1)),0))))</f>
        <v>0</v>
      </c>
    </row>
    <row r="89" spans="1:9" x14ac:dyDescent="0.25">
      <c r="A89" s="12"/>
      <c r="B89" s="13"/>
      <c r="C89" s="17"/>
      <c r="D89" s="13"/>
      <c r="E89" s="13"/>
      <c r="F89" s="13"/>
      <c r="G89" s="15"/>
      <c r="H89" s="15"/>
      <c r="I89" s="16">
        <f>IF(C89="",0,IF(OR(A89="",A89="DNS"),0,IF(A89="DNF",1,IF(ISNUMBER(A89),IF($I$2="J",IF(A89&lt;=11,VLOOKUP(A89,Punten!$A$2:$C$31,3,FALSE()),1),IF(A89&lt;=30,VLOOKUP(A89,Punten!$A$2:$C$31,2,FALSE()),1)),0))))</f>
        <v>0</v>
      </c>
    </row>
    <row r="90" spans="1:9" x14ac:dyDescent="0.25">
      <c r="A90" s="12"/>
      <c r="B90" s="13"/>
      <c r="C90" s="17"/>
      <c r="D90" s="13"/>
      <c r="E90" s="13"/>
      <c r="F90" s="13"/>
      <c r="G90" s="15"/>
      <c r="H90" s="15"/>
      <c r="I90" s="16">
        <f>IF(C90="",0,IF(OR(A90="",A90="DNS"),0,IF(A90="DNF",1,IF(ISNUMBER(A90),IF($I$2="J",IF(A90&lt;=11,VLOOKUP(A90,Punten!$A$2:$C$31,3,FALSE()),1),IF(A90&lt;=30,VLOOKUP(A90,Punten!$A$2:$C$31,2,FALSE()),1)),0))))</f>
        <v>0</v>
      </c>
    </row>
    <row r="91" spans="1:9" x14ac:dyDescent="0.25">
      <c r="A91" s="12"/>
      <c r="B91" s="13"/>
      <c r="C91" s="17"/>
      <c r="D91" s="13"/>
      <c r="E91" s="13"/>
      <c r="F91" s="13"/>
      <c r="G91" s="15"/>
      <c r="H91" s="15"/>
      <c r="I91" s="16">
        <f>IF(C91="",0,IF(OR(A91="",A91="DNS"),0,IF(A91="DNF",1,IF(ISNUMBER(A91),IF($I$2="J",IF(A91&lt;=11,VLOOKUP(A91,Punten!$A$2:$C$31,3,FALSE()),1),IF(A91&lt;=30,VLOOKUP(A91,Punten!$A$2:$C$31,2,FALSE()),1)),0))))</f>
        <v>0</v>
      </c>
    </row>
    <row r="92" spans="1:9" x14ac:dyDescent="0.25">
      <c r="A92" s="12"/>
      <c r="B92" s="13"/>
      <c r="C92" s="17"/>
      <c r="D92" s="13"/>
      <c r="E92" s="13"/>
      <c r="F92" s="13"/>
      <c r="G92" s="15"/>
      <c r="H92" s="15"/>
      <c r="I92" s="16">
        <f>IF(C92="",0,IF(OR(A92="",A92="DNS"),0,IF(A92="DNF",1,IF(ISNUMBER(A92),IF($I$2="J",IF(A92&lt;=11,VLOOKUP(A92,Punten!$A$2:$C$31,3,FALSE()),1),IF(A92&lt;=30,VLOOKUP(A92,Punten!$A$2:$C$31,2,FALSE()),1)),0))))</f>
        <v>0</v>
      </c>
    </row>
    <row r="93" spans="1:9" x14ac:dyDescent="0.25">
      <c r="A93" s="12"/>
      <c r="B93" s="13"/>
      <c r="C93" s="17"/>
      <c r="D93" s="13"/>
      <c r="E93" s="13"/>
      <c r="F93" s="13"/>
      <c r="G93" s="15"/>
      <c r="H93" s="15"/>
      <c r="I93" s="16">
        <f>IF(C93="",0,IF(OR(A93="",A93="DNS"),0,IF(A93="DNF",1,IF(ISNUMBER(A93),IF($I$2="J",IF(A93&lt;=11,VLOOKUP(A93,Punten!$A$2:$C$31,3,FALSE()),1),IF(A93&lt;=30,VLOOKUP(A93,Punten!$A$2:$C$31,2,FALSE()),1)),0))))</f>
        <v>0</v>
      </c>
    </row>
    <row r="94" spans="1:9" x14ac:dyDescent="0.25">
      <c r="A94" s="12"/>
      <c r="B94" s="13"/>
      <c r="C94" s="17"/>
      <c r="D94" s="13"/>
      <c r="E94" s="13"/>
      <c r="F94" s="13"/>
      <c r="G94" s="15"/>
      <c r="H94" s="15"/>
      <c r="I94" s="16">
        <f>IF(C94="",0,IF(OR(A94="",A94="DNS"),0,IF(A94="DNF",1,IF(ISNUMBER(A94),IF($I$2="J",IF(A94&lt;=11,VLOOKUP(A94,Punten!$A$2:$C$31,3,FALSE()),1),IF(A94&lt;=30,VLOOKUP(A94,Punten!$A$2:$C$31,2,FALSE()),1)),0))))</f>
        <v>0</v>
      </c>
    </row>
    <row r="95" spans="1:9" x14ac:dyDescent="0.25">
      <c r="A95" s="12"/>
      <c r="B95" s="13"/>
      <c r="C95" s="17"/>
      <c r="D95" s="13"/>
      <c r="E95" s="13"/>
      <c r="F95" s="13"/>
      <c r="G95" s="15"/>
      <c r="H95" s="15"/>
      <c r="I95" s="16">
        <f>IF(C95="",0,IF(OR(A95="",A95="DNS"),0,IF(A95="DNF",1,IF(ISNUMBER(A95),IF($I$2="J",IF(A95&lt;=11,VLOOKUP(A95,Punten!$A$2:$C$31,3,FALSE()),1),IF(A95&lt;=30,VLOOKUP(A95,Punten!$A$2:$C$31,2,FALSE()),1)),0))))</f>
        <v>0</v>
      </c>
    </row>
    <row r="96" spans="1:9" x14ac:dyDescent="0.25">
      <c r="A96" s="12"/>
      <c r="B96" s="13"/>
      <c r="C96" s="17"/>
      <c r="D96" s="13"/>
      <c r="E96" s="13"/>
      <c r="F96" s="13"/>
      <c r="G96" s="15"/>
      <c r="H96" s="15"/>
      <c r="I96" s="16">
        <f>IF(C96="",0,IF(OR(A96="",A96="DNS"),0,IF(A96="DNF",1,IF(ISNUMBER(A96),IF($I$2="J",IF(A96&lt;=11,VLOOKUP(A96,Punten!$A$2:$C$31,3,FALSE()),1),IF(A96&lt;=30,VLOOKUP(A96,Punten!$A$2:$C$31,2,FALSE()),1)),0))))</f>
        <v>0</v>
      </c>
    </row>
    <row r="97" spans="1:9" x14ac:dyDescent="0.25">
      <c r="A97" s="12"/>
      <c r="B97" s="13"/>
      <c r="C97" s="17"/>
      <c r="D97" s="13"/>
      <c r="E97" s="13"/>
      <c r="F97" s="13"/>
      <c r="G97" s="15"/>
      <c r="H97" s="15"/>
      <c r="I97" s="16">
        <f>IF(C97="",0,IF(OR(A97="",A97="DNS"),0,IF(A97="DNF",1,IF(ISNUMBER(A97),IF($I$2="J",IF(A97&lt;=11,VLOOKUP(A97,Punten!$A$2:$C$31,3,FALSE()),1),IF(A97&lt;=30,VLOOKUP(A97,Punten!$A$2:$C$31,2,FALSE()),1)),0))))</f>
        <v>0</v>
      </c>
    </row>
    <row r="98" spans="1:9" x14ac:dyDescent="0.25">
      <c r="A98" s="12"/>
      <c r="B98" s="13"/>
      <c r="C98" s="17"/>
      <c r="D98" s="13"/>
      <c r="E98" s="13"/>
      <c r="F98" s="13"/>
      <c r="G98" s="15"/>
      <c r="H98" s="15"/>
      <c r="I98" s="16">
        <f>IF(C98="",0,IF(OR(A98="",A98="DNS"),0,IF(A98="DNF",1,IF(ISNUMBER(A98),IF($I$2="J",IF(A98&lt;=11,VLOOKUP(A98,Punten!$A$2:$C$31,3,FALSE()),1),IF(A98&lt;=30,VLOOKUP(A98,Punten!$A$2:$C$31,2,FALSE()),1)),0))))</f>
        <v>0</v>
      </c>
    </row>
    <row r="99" spans="1:9" x14ac:dyDescent="0.25">
      <c r="A99" s="12"/>
      <c r="B99" s="13"/>
      <c r="C99" s="17"/>
      <c r="D99" s="13"/>
      <c r="E99" s="13"/>
      <c r="F99" s="13"/>
      <c r="G99" s="15"/>
      <c r="H99" s="15"/>
      <c r="I99" s="16">
        <f>IF(C99="",0,IF(OR(A99="",A99="DNS"),0,IF(A99="DNF",1,IF(ISNUMBER(A99),IF($I$2="J",IF(A99&lt;=11,VLOOKUP(A99,Punten!$A$2:$C$31,3,FALSE()),1),IF(A99&lt;=30,VLOOKUP(A99,Punten!$A$2:$C$31,2,FALSE()),1)),0))))</f>
        <v>0</v>
      </c>
    </row>
    <row r="100" spans="1:9" x14ac:dyDescent="0.25">
      <c r="A100" s="12"/>
      <c r="B100" s="13"/>
      <c r="C100" s="17"/>
      <c r="D100" s="13"/>
      <c r="E100" s="13"/>
      <c r="F100" s="13"/>
      <c r="G100" s="15"/>
      <c r="H100" s="15"/>
      <c r="I100" s="16">
        <f>IF(C100="",0,IF(OR(A100="",A100="DNS"),0,IF(A100="DNF",1,IF(ISNUMBER(A100),IF($I$2="J",IF(A100&lt;=11,VLOOKUP(A100,Punten!$A$2:$C$31,3,FALSE()),1),IF(A100&lt;=30,VLOOKUP(A100,Punten!$A$2:$C$31,2,FALSE()),1)),0))))</f>
        <v>0</v>
      </c>
    </row>
    <row r="101" spans="1:9" x14ac:dyDescent="0.25">
      <c r="A101" s="12"/>
      <c r="B101" s="13"/>
      <c r="C101" s="17"/>
      <c r="D101" s="13"/>
      <c r="E101" s="13"/>
      <c r="F101" s="13"/>
      <c r="G101" s="15"/>
      <c r="H101" s="15"/>
      <c r="I101" s="16">
        <f>IF(C101="",0,IF(OR(A101="",A101="DNS"),0,IF(A101="DNF",1,IF(ISNUMBER(A101),IF($I$2="J",IF(A101&lt;=11,VLOOKUP(A101,Punten!$A$2:$C$31,3,FALSE()),1),IF(A101&lt;=30,VLOOKUP(A101,Punten!$A$2:$C$31,2,FALSE()),1)),0))))</f>
        <v>0</v>
      </c>
    </row>
    <row r="102" spans="1:9" x14ac:dyDescent="0.25">
      <c r="A102" s="12"/>
      <c r="B102" s="13"/>
      <c r="C102" s="17"/>
      <c r="D102" s="13"/>
      <c r="E102" s="13"/>
      <c r="F102" s="13"/>
      <c r="G102" s="15"/>
      <c r="H102" s="15"/>
      <c r="I102" s="16">
        <f>IF(C102="",0,IF(OR(A102="",A102="DNS"),0,IF(A102="DNF",1,IF(ISNUMBER(A102),IF($I$2="J",IF(A102&lt;=11,VLOOKUP(A102,Punten!$A$2:$C$31,3,FALSE()),1),IF(A102&lt;=30,VLOOKUP(A102,Punten!$A$2:$C$31,2,FALSE()),1)),0))))</f>
        <v>0</v>
      </c>
    </row>
    <row r="103" spans="1:9" x14ac:dyDescent="0.25">
      <c r="A103" s="12"/>
      <c r="B103" s="13"/>
      <c r="C103" s="17"/>
      <c r="D103" s="13"/>
      <c r="E103" s="13"/>
      <c r="F103" s="13"/>
      <c r="G103" s="15"/>
      <c r="H103" s="15"/>
      <c r="I103" s="16">
        <f>IF(C103="",0,IF(OR(A103="",A103="DNS"),0,IF(A103="DNF",1,IF(ISNUMBER(A103),IF($I$2="J",IF(A103&lt;=11,VLOOKUP(A103,Punten!$A$2:$C$31,3,FALSE()),1),IF(A103&lt;=30,VLOOKUP(A103,Punten!$A$2:$C$31,2,FALSE()),1)),0))))</f>
        <v>0</v>
      </c>
    </row>
    <row r="105" spans="1:9" ht="16.5" customHeight="1" x14ac:dyDescent="0.25">
      <c r="A105" s="7" t="s">
        <v>67</v>
      </c>
      <c r="B105" s="8"/>
      <c r="C105" s="8"/>
      <c r="D105" s="8"/>
      <c r="E105" s="8"/>
      <c r="F105" s="8"/>
      <c r="G105" s="8"/>
      <c r="H105" s="9" t="s">
        <v>23</v>
      </c>
      <c r="I105" s="10" t="s">
        <v>24</v>
      </c>
    </row>
    <row r="106" spans="1:9" x14ac:dyDescent="0.25">
      <c r="A106" s="11" t="s">
        <v>25</v>
      </c>
      <c r="B106" s="11" t="s">
        <v>26</v>
      </c>
      <c r="C106" s="11" t="s">
        <v>27</v>
      </c>
      <c r="D106" s="11" t="s">
        <v>98</v>
      </c>
      <c r="E106" s="11" t="s">
        <v>28</v>
      </c>
      <c r="F106" s="11" t="s">
        <v>29</v>
      </c>
      <c r="G106" s="11" t="s">
        <v>30</v>
      </c>
      <c r="H106" s="11" t="s">
        <v>31</v>
      </c>
      <c r="I106" s="11" t="s">
        <v>32</v>
      </c>
    </row>
    <row r="107" spans="1:9" x14ac:dyDescent="0.25">
      <c r="A107" s="12"/>
      <c r="B107" s="13"/>
      <c r="C107" s="17"/>
      <c r="D107" s="13"/>
      <c r="E107" s="13"/>
      <c r="F107" s="13"/>
      <c r="G107" s="15"/>
      <c r="H107" s="15"/>
      <c r="I107" s="16">
        <f>IF(C107="",0,IF(OR(A107="",A107="DNS"),0,IF(A107="DNF",1,IF(ISNUMBER(A107),IF($I$105="J",IF(A107&lt;=11,VLOOKUP(A107,Punten!$A$2:$C$31,3,FALSE()),1),IF(A107&lt;=30,VLOOKUP(A107,Punten!$A$2:$C$31,2,FALSE()),1)),0))))</f>
        <v>0</v>
      </c>
    </row>
    <row r="108" spans="1:9" x14ac:dyDescent="0.25">
      <c r="A108" s="12"/>
      <c r="B108" s="13"/>
      <c r="C108" s="17"/>
      <c r="D108" s="13"/>
      <c r="E108" s="13"/>
      <c r="F108" s="13"/>
      <c r="G108" s="15"/>
      <c r="H108" s="15"/>
      <c r="I108" s="16">
        <f>IF(C108="",0,IF(OR(A108="",A108="DNS"),0,IF(A108="DNF",1,IF(ISNUMBER(A108),IF($I$105="J",IF(A108&lt;=11,VLOOKUP(A108,Punten!$A$2:$C$31,3,FALSE()),1),IF(A108&lt;=30,VLOOKUP(A108,Punten!$A$2:$C$31,2,FALSE()),1)),0))))</f>
        <v>0</v>
      </c>
    </row>
    <row r="109" spans="1:9" x14ac:dyDescent="0.25">
      <c r="A109" s="12"/>
      <c r="B109" s="13"/>
      <c r="C109" s="17"/>
      <c r="D109" s="13"/>
      <c r="E109" s="13"/>
      <c r="F109" s="13"/>
      <c r="G109" s="15"/>
      <c r="H109" s="15"/>
      <c r="I109" s="16">
        <f>IF(C109="",0,IF(OR(A109="",A109="DNS"),0,IF(A109="DNF",1,IF(ISNUMBER(A109),IF($I$105="J",IF(A109&lt;=11,VLOOKUP(A109,Punten!$A$2:$C$31,3,FALSE()),1),IF(A109&lt;=30,VLOOKUP(A109,Punten!$A$2:$C$31,2,FALSE()),1)),0))))</f>
        <v>0</v>
      </c>
    </row>
    <row r="110" spans="1:9" x14ac:dyDescent="0.25">
      <c r="A110" s="12"/>
      <c r="B110" s="13"/>
      <c r="C110" s="17"/>
      <c r="D110" s="13"/>
      <c r="E110" s="13"/>
      <c r="F110" s="13"/>
      <c r="G110" s="15"/>
      <c r="H110" s="15"/>
      <c r="I110" s="16">
        <f>IF(C110="",0,IF(OR(A110="",A110="DNS"),0,IF(A110="DNF",1,IF(ISNUMBER(A110),IF($I$105="J",IF(A110&lt;=11,VLOOKUP(A110,Punten!$A$2:$C$31,3,FALSE()),1),IF(A110&lt;=30,VLOOKUP(A110,Punten!$A$2:$C$31,2,FALSE()),1)),0))))</f>
        <v>0</v>
      </c>
    </row>
    <row r="111" spans="1:9" x14ac:dyDescent="0.25">
      <c r="A111" s="12"/>
      <c r="B111" s="13"/>
      <c r="C111" s="17"/>
      <c r="D111" s="13"/>
      <c r="E111" s="13"/>
      <c r="F111" s="13"/>
      <c r="G111" s="15"/>
      <c r="H111" s="15"/>
      <c r="I111" s="16">
        <f>IF(C111="",0,IF(OR(A111="",A111="DNS"),0,IF(A111="DNF",1,IF(ISNUMBER(A111),IF($I$105="J",IF(A111&lt;=11,VLOOKUP(A111,Punten!$A$2:$C$31,3,FALSE()),1),IF(A111&lt;=30,VLOOKUP(A111,Punten!$A$2:$C$31,2,FALSE()),1)),0))))</f>
        <v>0</v>
      </c>
    </row>
    <row r="112" spans="1:9" x14ac:dyDescent="0.25">
      <c r="A112" s="12"/>
      <c r="B112" s="13"/>
      <c r="C112" s="17"/>
      <c r="D112" s="13"/>
      <c r="E112" s="13"/>
      <c r="F112" s="13"/>
      <c r="G112" s="15"/>
      <c r="H112" s="15"/>
      <c r="I112" s="16">
        <f>IF(C112="",0,IF(OR(A112="",A112="DNS"),0,IF(A112="DNF",1,IF(ISNUMBER(A112),IF($I$105="J",IF(A112&lt;=11,VLOOKUP(A112,Punten!$A$2:$C$31,3,FALSE()),1),IF(A112&lt;=30,VLOOKUP(A112,Punten!$A$2:$C$31,2,FALSE()),1)),0))))</f>
        <v>0</v>
      </c>
    </row>
    <row r="113" spans="1:9" x14ac:dyDescent="0.25">
      <c r="A113" s="12"/>
      <c r="B113" s="13"/>
      <c r="C113" s="17"/>
      <c r="D113" s="13"/>
      <c r="E113" s="13"/>
      <c r="F113" s="13"/>
      <c r="G113" s="15"/>
      <c r="H113" s="15"/>
      <c r="I113" s="16">
        <f>IF(C113="",0,IF(OR(A113="",A113="DNS"),0,IF(A113="DNF",1,IF(ISNUMBER(A113),IF($I$105="J",IF(A113&lt;=11,VLOOKUP(A113,Punten!$A$2:$C$31,3,FALSE()),1),IF(A113&lt;=30,VLOOKUP(A113,Punten!$A$2:$C$31,2,FALSE()),1)),0))))</f>
        <v>0</v>
      </c>
    </row>
    <row r="114" spans="1:9" x14ac:dyDescent="0.25">
      <c r="A114" s="12"/>
      <c r="B114" s="13"/>
      <c r="C114" s="17"/>
      <c r="D114" s="13"/>
      <c r="E114" s="13"/>
      <c r="F114" s="13"/>
      <c r="G114" s="15"/>
      <c r="H114" s="15"/>
      <c r="I114" s="16">
        <f>IF(C114="",0,IF(OR(A114="",A114="DNS"),0,IF(A114="DNF",1,IF(ISNUMBER(A114),IF($I$105="J",IF(A114&lt;=11,VLOOKUP(A114,Punten!$A$2:$C$31,3,FALSE()),1),IF(A114&lt;=30,VLOOKUP(A114,Punten!$A$2:$C$31,2,FALSE()),1)),0))))</f>
        <v>0</v>
      </c>
    </row>
    <row r="115" spans="1:9" x14ac:dyDescent="0.25">
      <c r="A115" s="12"/>
      <c r="B115" s="13"/>
      <c r="C115" s="17"/>
      <c r="D115" s="13"/>
      <c r="E115" s="13"/>
      <c r="F115" s="13"/>
      <c r="G115" s="15"/>
      <c r="H115" s="15"/>
      <c r="I115" s="16">
        <f>IF(C115="",0,IF(OR(A115="",A115="DNS"),0,IF(A115="DNF",1,IF(ISNUMBER(A115),IF($I$105="J",IF(A115&lt;=11,VLOOKUP(A115,Punten!$A$2:$C$31,3,FALSE()),1),IF(A115&lt;=30,VLOOKUP(A115,Punten!$A$2:$C$31,2,FALSE()),1)),0))))</f>
        <v>0</v>
      </c>
    </row>
    <row r="116" spans="1:9" x14ac:dyDescent="0.25">
      <c r="A116" s="12"/>
      <c r="B116" s="13"/>
      <c r="C116" s="17"/>
      <c r="D116" s="13"/>
      <c r="E116" s="13"/>
      <c r="F116" s="13"/>
      <c r="G116" s="15"/>
      <c r="H116" s="15"/>
      <c r="I116" s="16">
        <f>IF(C116="",0,IF(OR(A116="",A116="DNS"),0,IF(A116="DNF",1,IF(ISNUMBER(A116),IF($I$105="J",IF(A116&lt;=11,VLOOKUP(A116,Punten!$A$2:$C$31,3,FALSE()),1),IF(A116&lt;=30,VLOOKUP(A116,Punten!$A$2:$C$31,2,FALSE()),1)),0))))</f>
        <v>0</v>
      </c>
    </row>
    <row r="117" spans="1:9" x14ac:dyDescent="0.25">
      <c r="A117" s="12"/>
      <c r="B117" s="13"/>
      <c r="C117" s="17"/>
      <c r="D117" s="13"/>
      <c r="E117" s="13"/>
      <c r="F117" s="13"/>
      <c r="G117" s="15"/>
      <c r="H117" s="15"/>
      <c r="I117" s="16">
        <f>IF(C117="",0,IF(OR(A117="",A117="DNS"),0,IF(A117="DNF",1,IF(ISNUMBER(A117),IF($I$105="J",IF(A117&lt;=11,VLOOKUP(A117,Punten!$A$2:$C$31,3,FALSE()),1),IF(A117&lt;=30,VLOOKUP(A117,Punten!$A$2:$C$31,2,FALSE()),1)),0))))</f>
        <v>0</v>
      </c>
    </row>
    <row r="118" spans="1:9" x14ac:dyDescent="0.25">
      <c r="A118" s="12"/>
      <c r="B118" s="13"/>
      <c r="C118" s="17"/>
      <c r="D118" s="13"/>
      <c r="E118" s="13"/>
      <c r="F118" s="13"/>
      <c r="G118" s="15"/>
      <c r="H118" s="15"/>
      <c r="I118" s="16">
        <f>IF(C118="",0,IF(OR(A118="",A118="DNS"),0,IF(A118="DNF",1,IF(ISNUMBER(A118),IF($I$105="J",IF(A118&lt;=11,VLOOKUP(A118,Punten!$A$2:$C$31,3,FALSE()),1),IF(A118&lt;=30,VLOOKUP(A118,Punten!$A$2:$C$31,2,FALSE()),1)),0))))</f>
        <v>0</v>
      </c>
    </row>
    <row r="119" spans="1:9" x14ac:dyDescent="0.25">
      <c r="A119" s="12"/>
      <c r="B119" s="13"/>
      <c r="C119" s="17"/>
      <c r="D119" s="13"/>
      <c r="E119" s="13"/>
      <c r="F119" s="13"/>
      <c r="G119" s="15"/>
      <c r="H119" s="15"/>
      <c r="I119" s="16">
        <f>IF(C119="",0,IF(OR(A119="",A119="DNS"),0,IF(A119="DNF",1,IF(ISNUMBER(A119),IF($I$105="J",IF(A119&lt;=11,VLOOKUP(A119,Punten!$A$2:$C$31,3,FALSE()),1),IF(A119&lt;=30,VLOOKUP(A119,Punten!$A$2:$C$31,2,FALSE()),1)),0))))</f>
        <v>0</v>
      </c>
    </row>
    <row r="120" spans="1:9" x14ac:dyDescent="0.25">
      <c r="A120" s="12"/>
      <c r="B120" s="13"/>
      <c r="C120" s="17"/>
      <c r="D120" s="13"/>
      <c r="E120" s="13"/>
      <c r="F120" s="13"/>
      <c r="G120" s="15"/>
      <c r="H120" s="15"/>
      <c r="I120" s="16">
        <f>IF(C120="",0,IF(OR(A120="",A120="DNS"),0,IF(A120="DNF",1,IF(ISNUMBER(A120),IF($I$105="J",IF(A120&lt;=11,VLOOKUP(A120,Punten!$A$2:$C$31,3,FALSE()),1),IF(A120&lt;=30,VLOOKUP(A120,Punten!$A$2:$C$31,2,FALSE()),1)),0))))</f>
        <v>0</v>
      </c>
    </row>
    <row r="121" spans="1:9" x14ac:dyDescent="0.25">
      <c r="A121" s="12"/>
      <c r="B121" s="13"/>
      <c r="C121" s="17"/>
      <c r="D121" s="13"/>
      <c r="E121" s="13"/>
      <c r="F121" s="13"/>
      <c r="G121" s="15"/>
      <c r="H121" s="15"/>
      <c r="I121" s="16">
        <f>IF(C121="",0,IF(OR(A121="",A121="DNS"),0,IF(A121="DNF",1,IF(ISNUMBER(A121),IF($I$105="J",IF(A121&lt;=11,VLOOKUP(A121,Punten!$A$2:$C$31,3,FALSE()),1),IF(A121&lt;=30,VLOOKUP(A121,Punten!$A$2:$C$31,2,FALSE()),1)),0))))</f>
        <v>0</v>
      </c>
    </row>
    <row r="122" spans="1:9" x14ac:dyDescent="0.25">
      <c r="A122" s="12"/>
      <c r="B122" s="13"/>
      <c r="C122" s="17"/>
      <c r="D122" s="13"/>
      <c r="E122" s="13"/>
      <c r="F122" s="13"/>
      <c r="G122" s="15"/>
      <c r="H122" s="15"/>
      <c r="I122" s="16">
        <f>IF(C122="",0,IF(OR(A122="",A122="DNS"),0,IF(A122="DNF",1,IF(ISNUMBER(A122),IF($I$105="J",IF(A122&lt;=11,VLOOKUP(A122,Punten!$A$2:$C$31,3,FALSE()),1),IF(A122&lt;=30,VLOOKUP(A122,Punten!$A$2:$C$31,2,FALSE()),1)),0))))</f>
        <v>0</v>
      </c>
    </row>
    <row r="123" spans="1:9" x14ac:dyDescent="0.25">
      <c r="A123" s="12"/>
      <c r="B123" s="13"/>
      <c r="C123" s="17"/>
      <c r="D123" s="13"/>
      <c r="E123" s="13"/>
      <c r="F123" s="13"/>
      <c r="G123" s="15"/>
      <c r="H123" s="15"/>
      <c r="I123" s="16">
        <f>IF(C123="",0,IF(OR(A123="",A123="DNS"),0,IF(A123="DNF",1,IF(ISNUMBER(A123),IF($I$105="J",IF(A123&lt;=11,VLOOKUP(A123,Punten!$A$2:$C$31,3,FALSE()),1),IF(A123&lt;=30,VLOOKUP(A123,Punten!$A$2:$C$31,2,FALSE()),1)),0))))</f>
        <v>0</v>
      </c>
    </row>
    <row r="124" spans="1:9" x14ac:dyDescent="0.25">
      <c r="A124" s="12"/>
      <c r="B124" s="13"/>
      <c r="C124" s="17"/>
      <c r="D124" s="13"/>
      <c r="E124" s="13"/>
      <c r="F124" s="13"/>
      <c r="G124" s="15"/>
      <c r="H124" s="15"/>
      <c r="I124" s="16">
        <f>IF(C124="",0,IF(OR(A124="",A124="DNS"),0,IF(A124="DNF",1,IF(ISNUMBER(A124),IF($I$105="J",IF(A124&lt;=11,VLOOKUP(A124,Punten!$A$2:$C$31,3,FALSE()),1),IF(A124&lt;=30,VLOOKUP(A124,Punten!$A$2:$C$31,2,FALSE()),1)),0))))</f>
        <v>0</v>
      </c>
    </row>
    <row r="125" spans="1:9" x14ac:dyDescent="0.25">
      <c r="A125" s="12"/>
      <c r="B125" s="13"/>
      <c r="C125" s="17"/>
      <c r="D125" s="13"/>
      <c r="E125" s="13"/>
      <c r="F125" s="13"/>
      <c r="G125" s="15"/>
      <c r="H125" s="15"/>
      <c r="I125" s="16">
        <f>IF(C125="",0,IF(OR(A125="",A125="DNS"),0,IF(A125="DNF",1,IF(ISNUMBER(A125),IF($I$105="J",IF(A125&lt;=11,VLOOKUP(A125,Punten!$A$2:$C$31,3,FALSE()),1),IF(A125&lt;=30,VLOOKUP(A125,Punten!$A$2:$C$31,2,FALSE()),1)),0))))</f>
        <v>0</v>
      </c>
    </row>
    <row r="126" spans="1:9" x14ac:dyDescent="0.25">
      <c r="A126" s="12"/>
      <c r="B126" s="13"/>
      <c r="C126" s="17"/>
      <c r="D126" s="13"/>
      <c r="E126" s="13"/>
      <c r="F126" s="13"/>
      <c r="G126" s="15"/>
      <c r="H126" s="15"/>
      <c r="I126" s="16">
        <f>IF(C126="",0,IF(OR(A126="",A126="DNS"),0,IF(A126="DNF",1,IF(ISNUMBER(A126),IF($I$105="J",IF(A126&lt;=11,VLOOKUP(A126,Punten!$A$2:$C$31,3,FALSE()),1),IF(A126&lt;=30,VLOOKUP(A126,Punten!$A$2:$C$31,2,FALSE()),1)),0))))</f>
        <v>0</v>
      </c>
    </row>
    <row r="127" spans="1:9" x14ac:dyDescent="0.25">
      <c r="A127" s="12"/>
      <c r="B127" s="13"/>
      <c r="C127" s="17"/>
      <c r="D127" s="13"/>
      <c r="E127" s="13"/>
      <c r="F127" s="13"/>
      <c r="G127" s="15"/>
      <c r="H127" s="15"/>
      <c r="I127" s="16">
        <f>IF(C127="",0,IF(OR(A127="",A127="DNS"),0,IF(A127="DNF",1,IF(ISNUMBER(A127),IF($I$105="J",IF(A127&lt;=11,VLOOKUP(A127,Punten!$A$2:$C$31,3,FALSE()),1),IF(A127&lt;=30,VLOOKUP(A127,Punten!$A$2:$C$31,2,FALSE()),1)),0))))</f>
        <v>0</v>
      </c>
    </row>
    <row r="128" spans="1:9" x14ac:dyDescent="0.25">
      <c r="A128" s="12"/>
      <c r="B128" s="13"/>
      <c r="C128" s="17"/>
      <c r="D128" s="13"/>
      <c r="E128" s="13"/>
      <c r="F128" s="13"/>
      <c r="G128" s="15"/>
      <c r="H128" s="15"/>
      <c r="I128" s="16">
        <f>IF(C128="",0,IF(OR(A128="",A128="DNS"),0,IF(A128="DNF",1,IF(ISNUMBER(A128),IF($I$105="J",IF(A128&lt;=11,VLOOKUP(A128,Punten!$A$2:$C$31,3,FALSE()),1),IF(A128&lt;=30,VLOOKUP(A128,Punten!$A$2:$C$31,2,FALSE()),1)),0))))</f>
        <v>0</v>
      </c>
    </row>
    <row r="129" spans="1:9" x14ac:dyDescent="0.25">
      <c r="A129" s="12"/>
      <c r="B129" s="13"/>
      <c r="C129" s="17"/>
      <c r="D129" s="13"/>
      <c r="E129" s="13"/>
      <c r="F129" s="13"/>
      <c r="G129" s="15"/>
      <c r="H129" s="15"/>
      <c r="I129" s="16">
        <f>IF(C129="",0,IF(OR(A129="",A129="DNS"),0,IF(A129="DNF",1,IF(ISNUMBER(A129),IF($I$105="J",IF(A129&lt;=11,VLOOKUP(A129,Punten!$A$2:$C$31,3,FALSE()),1),IF(A129&lt;=30,VLOOKUP(A129,Punten!$A$2:$C$31,2,FALSE()),1)),0))))</f>
        <v>0</v>
      </c>
    </row>
    <row r="130" spans="1:9" x14ac:dyDescent="0.25">
      <c r="A130" s="12"/>
      <c r="B130" s="13"/>
      <c r="C130" s="17"/>
      <c r="D130" s="13"/>
      <c r="E130" s="13"/>
      <c r="F130" s="13"/>
      <c r="G130" s="15"/>
      <c r="H130" s="15"/>
      <c r="I130" s="16">
        <f>IF(C130="",0,IF(OR(A130="",A130="DNS"),0,IF(A130="DNF",1,IF(ISNUMBER(A130),IF($I$105="J",IF(A130&lt;=11,VLOOKUP(A130,Punten!$A$2:$C$31,3,FALSE()),1),IF(A130&lt;=30,VLOOKUP(A130,Punten!$A$2:$C$31,2,FALSE()),1)),0))))</f>
        <v>0</v>
      </c>
    </row>
    <row r="131" spans="1:9" x14ac:dyDescent="0.25">
      <c r="A131" s="12"/>
      <c r="B131" s="13"/>
      <c r="C131" s="17"/>
      <c r="D131" s="13"/>
      <c r="E131" s="13"/>
      <c r="F131" s="13"/>
      <c r="G131" s="15"/>
      <c r="H131" s="15"/>
      <c r="I131" s="16">
        <f>IF(C131="",0,IF(OR(A131="",A131="DNS"),0,IF(A131="DNF",1,IF(ISNUMBER(A131),IF($I$105="J",IF(A131&lt;=11,VLOOKUP(A131,Punten!$A$2:$C$31,3,FALSE()),1),IF(A131&lt;=30,VLOOKUP(A131,Punten!$A$2:$C$31,2,FALSE()),1)),0))))</f>
        <v>0</v>
      </c>
    </row>
    <row r="132" spans="1:9" x14ac:dyDescent="0.25">
      <c r="A132" s="12"/>
      <c r="B132" s="13"/>
      <c r="C132" s="17"/>
      <c r="D132" s="13"/>
      <c r="E132" s="13"/>
      <c r="F132" s="13"/>
      <c r="G132" s="15"/>
      <c r="H132" s="15"/>
      <c r="I132" s="16">
        <f>IF(C132="",0,IF(OR(A132="",A132="DNS"),0,IF(A132="DNF",1,IF(ISNUMBER(A132),IF($I$105="J",IF(A132&lt;=11,VLOOKUP(A132,Punten!$A$2:$C$31,3,FALSE()),1),IF(A132&lt;=30,VLOOKUP(A132,Punten!$A$2:$C$31,2,FALSE()),1)),0))))</f>
        <v>0</v>
      </c>
    </row>
    <row r="133" spans="1:9" x14ac:dyDescent="0.25">
      <c r="A133" s="12"/>
      <c r="B133" s="13"/>
      <c r="C133" s="17"/>
      <c r="D133" s="13"/>
      <c r="E133" s="13"/>
      <c r="F133" s="13"/>
      <c r="G133" s="15"/>
      <c r="H133" s="15"/>
      <c r="I133" s="16">
        <f>IF(C133="",0,IF(OR(A133="",A133="DNS"),0,IF(A133="DNF",1,IF(ISNUMBER(A133),IF($I$105="J",IF(A133&lt;=11,VLOOKUP(A133,Punten!$A$2:$C$31,3,FALSE()),1),IF(A133&lt;=30,VLOOKUP(A133,Punten!$A$2:$C$31,2,FALSE()),1)),0))))</f>
        <v>0</v>
      </c>
    </row>
    <row r="134" spans="1:9" x14ac:dyDescent="0.25">
      <c r="A134" s="12"/>
      <c r="B134" s="13"/>
      <c r="C134" s="17"/>
      <c r="D134" s="13"/>
      <c r="E134" s="13"/>
      <c r="F134" s="13"/>
      <c r="G134" s="15"/>
      <c r="H134" s="15"/>
      <c r="I134" s="16">
        <f>IF(C134="",0,IF(OR(A134="",A134="DNS"),0,IF(A134="DNF",1,IF(ISNUMBER(A134),IF($I$105="J",IF(A134&lt;=11,VLOOKUP(A134,Punten!$A$2:$C$31,3,FALSE()),1),IF(A134&lt;=30,VLOOKUP(A134,Punten!$A$2:$C$31,2,FALSE()),1)),0))))</f>
        <v>0</v>
      </c>
    </row>
    <row r="135" spans="1:9" x14ac:dyDescent="0.25">
      <c r="A135" s="12"/>
      <c r="B135" s="13"/>
      <c r="C135" s="17"/>
      <c r="D135" s="13"/>
      <c r="E135" s="13"/>
      <c r="F135" s="13"/>
      <c r="G135" s="15"/>
      <c r="H135" s="15"/>
      <c r="I135" s="16">
        <f>IF(C135="",0,IF(OR(A135="",A135="DNS"),0,IF(A135="DNF",1,IF(ISNUMBER(A135),IF($I$105="J",IF(A135&lt;=11,VLOOKUP(A135,Punten!$A$2:$C$31,3,FALSE()),1),IF(A135&lt;=30,VLOOKUP(A135,Punten!$A$2:$C$31,2,FALSE()),1)),0))))</f>
        <v>0</v>
      </c>
    </row>
    <row r="136" spans="1:9" x14ac:dyDescent="0.25">
      <c r="A136" s="12"/>
      <c r="B136" s="13"/>
      <c r="C136" s="17"/>
      <c r="D136" s="13"/>
      <c r="E136" s="13"/>
      <c r="F136" s="13"/>
      <c r="G136" s="15"/>
      <c r="H136" s="15"/>
      <c r="I136" s="16">
        <f>IF(C136="",0,IF(OR(A136="",A136="DNS"),0,IF(A136="DNF",1,IF(ISNUMBER(A136),IF($I$105="J",IF(A136&lt;=11,VLOOKUP(A136,Punten!$A$2:$C$31,3,FALSE()),1),IF(A136&lt;=30,VLOOKUP(A136,Punten!$A$2:$C$31,2,FALSE()),1)),0))))</f>
        <v>0</v>
      </c>
    </row>
    <row r="137" spans="1:9" x14ac:dyDescent="0.25">
      <c r="A137" s="12"/>
      <c r="B137" s="13"/>
      <c r="C137" s="17"/>
      <c r="D137" s="13"/>
      <c r="E137" s="13"/>
      <c r="F137" s="13"/>
      <c r="G137" s="15"/>
      <c r="H137" s="15"/>
      <c r="I137" s="16">
        <f>IF(C137="",0,IF(OR(A137="",A137="DNS"),0,IF(A137="DNF",1,IF(ISNUMBER(A137),IF($I$105="J",IF(A137&lt;=11,VLOOKUP(A137,Punten!$A$2:$C$31,3,FALSE()),1),IF(A137&lt;=30,VLOOKUP(A137,Punten!$A$2:$C$31,2,FALSE()),1)),0))))</f>
        <v>0</v>
      </c>
    </row>
    <row r="138" spans="1:9" x14ac:dyDescent="0.25">
      <c r="A138" s="12"/>
      <c r="B138" s="13"/>
      <c r="C138" s="17"/>
      <c r="D138" s="13"/>
      <c r="E138" s="13"/>
      <c r="F138" s="13"/>
      <c r="G138" s="15"/>
      <c r="H138" s="15"/>
      <c r="I138" s="16">
        <f>IF(C138="",0,IF(OR(A138="",A138="DNS"),0,IF(A138="DNF",1,IF(ISNUMBER(A138),IF($I$105="J",IF(A138&lt;=11,VLOOKUP(A138,Punten!$A$2:$C$31,3,FALSE()),1),IF(A138&lt;=30,VLOOKUP(A138,Punten!$A$2:$C$31,2,FALSE()),1)),0))))</f>
        <v>0</v>
      </c>
    </row>
    <row r="139" spans="1:9" x14ac:dyDescent="0.25">
      <c r="A139" s="12"/>
      <c r="B139" s="13"/>
      <c r="C139" s="17"/>
      <c r="D139" s="13"/>
      <c r="E139" s="13"/>
      <c r="F139" s="13"/>
      <c r="G139" s="15"/>
      <c r="H139" s="15"/>
      <c r="I139" s="16">
        <f>IF(C139="",0,IF(OR(A139="",A139="DNS"),0,IF(A139="DNF",1,IF(ISNUMBER(A139),IF($I$105="J",IF(A139&lt;=11,VLOOKUP(A139,Punten!$A$2:$C$31,3,FALSE()),1),IF(A139&lt;=30,VLOOKUP(A139,Punten!$A$2:$C$31,2,FALSE()),1)),0))))</f>
        <v>0</v>
      </c>
    </row>
    <row r="140" spans="1:9" x14ac:dyDescent="0.25">
      <c r="A140" s="12"/>
      <c r="B140" s="13"/>
      <c r="C140" s="17"/>
      <c r="D140" s="13"/>
      <c r="E140" s="13"/>
      <c r="F140" s="13"/>
      <c r="G140" s="15"/>
      <c r="H140" s="15"/>
      <c r="I140" s="16">
        <f>IF(C140="",0,IF(OR(A140="",A140="DNS"),0,IF(A140="DNF",1,IF(ISNUMBER(A140),IF($I$105="J",IF(A140&lt;=11,VLOOKUP(A140,Punten!$A$2:$C$31,3,FALSE()),1),IF(A140&lt;=30,VLOOKUP(A140,Punten!$A$2:$C$31,2,FALSE()),1)),0))))</f>
        <v>0</v>
      </c>
    </row>
    <row r="141" spans="1:9" x14ac:dyDescent="0.25">
      <c r="A141" s="12"/>
      <c r="B141" s="13"/>
      <c r="C141" s="17"/>
      <c r="D141" s="13"/>
      <c r="E141" s="13"/>
      <c r="F141" s="13"/>
      <c r="G141" s="15"/>
      <c r="H141" s="15"/>
      <c r="I141" s="16">
        <f>IF(C141="",0,IF(OR(A141="",A141="DNS"),0,IF(A141="DNF",1,IF(ISNUMBER(A141),IF($I$105="J",IF(A141&lt;=11,VLOOKUP(A141,Punten!$A$2:$C$31,3,FALSE()),1),IF(A141&lt;=30,VLOOKUP(A141,Punten!$A$2:$C$31,2,FALSE()),1)),0))))</f>
        <v>0</v>
      </c>
    </row>
    <row r="142" spans="1:9" x14ac:dyDescent="0.25">
      <c r="A142" s="12"/>
      <c r="B142" s="13"/>
      <c r="C142" s="17"/>
      <c r="D142" s="13"/>
      <c r="E142" s="13"/>
      <c r="F142" s="13"/>
      <c r="G142" s="15"/>
      <c r="H142" s="15"/>
      <c r="I142" s="16">
        <f>IF(C142="",0,IF(OR(A142="",A142="DNS"),0,IF(A142="DNF",1,IF(ISNUMBER(A142),IF($I$105="J",IF(A142&lt;=11,VLOOKUP(A142,Punten!$A$2:$C$31,3,FALSE()),1),IF(A142&lt;=30,VLOOKUP(A142,Punten!$A$2:$C$31,2,FALSE()),1)),0))))</f>
        <v>0</v>
      </c>
    </row>
    <row r="143" spans="1:9" x14ac:dyDescent="0.25">
      <c r="A143" s="12"/>
      <c r="B143" s="13"/>
      <c r="C143" s="17"/>
      <c r="D143" s="13"/>
      <c r="E143" s="13"/>
      <c r="F143" s="13"/>
      <c r="G143" s="15"/>
      <c r="H143" s="15"/>
      <c r="I143" s="16">
        <f>IF(C143="",0,IF(OR(A143="",A143="DNS"),0,IF(A143="DNF",1,IF(ISNUMBER(A143),IF($I$105="J",IF(A143&lt;=11,VLOOKUP(A143,Punten!$A$2:$C$31,3,FALSE()),1),IF(A143&lt;=30,VLOOKUP(A143,Punten!$A$2:$C$31,2,FALSE()),1)),0))))</f>
        <v>0</v>
      </c>
    </row>
    <row r="144" spans="1:9" x14ac:dyDescent="0.25">
      <c r="A144" s="12"/>
      <c r="B144" s="13"/>
      <c r="C144" s="17"/>
      <c r="D144" s="13"/>
      <c r="E144" s="13"/>
      <c r="F144" s="13"/>
      <c r="G144" s="15"/>
      <c r="H144" s="15"/>
      <c r="I144" s="16">
        <f>IF(C144="",0,IF(OR(A144="",A144="DNS"),0,IF(A144="DNF",1,IF(ISNUMBER(A144),IF($I$105="J",IF(A144&lt;=11,VLOOKUP(A144,Punten!$A$2:$C$31,3,FALSE()),1),IF(A144&lt;=30,VLOOKUP(A144,Punten!$A$2:$C$31,2,FALSE()),1)),0))))</f>
        <v>0</v>
      </c>
    </row>
    <row r="145" spans="1:9" x14ac:dyDescent="0.25">
      <c r="A145" s="12"/>
      <c r="B145" s="13"/>
      <c r="C145" s="17"/>
      <c r="D145" s="13"/>
      <c r="E145" s="13"/>
      <c r="F145" s="13"/>
      <c r="G145" s="15"/>
      <c r="H145" s="15"/>
      <c r="I145" s="16">
        <f>IF(C145="",0,IF(OR(A145="",A145="DNS"),0,IF(A145="DNF",1,IF(ISNUMBER(A145),IF($I$105="J",IF(A145&lt;=11,VLOOKUP(A145,Punten!$A$2:$C$31,3,FALSE()),1),IF(A145&lt;=30,VLOOKUP(A145,Punten!$A$2:$C$31,2,FALSE()),1)),0))))</f>
        <v>0</v>
      </c>
    </row>
    <row r="146" spans="1:9" x14ac:dyDescent="0.25">
      <c r="A146" s="12"/>
      <c r="B146" s="13"/>
      <c r="C146" s="17"/>
      <c r="D146" s="13"/>
      <c r="E146" s="13"/>
      <c r="F146" s="13"/>
      <c r="G146" s="15"/>
      <c r="H146" s="15"/>
      <c r="I146" s="16">
        <f>IF(C146="",0,IF(OR(A146="",A146="DNS"),0,IF(A146="DNF",1,IF(ISNUMBER(A146),IF($I$105="J",IF(A146&lt;=11,VLOOKUP(A146,Punten!$A$2:$C$31,3,FALSE()),1),IF(A146&lt;=30,VLOOKUP(A146,Punten!$A$2:$C$31,2,FALSE()),1)),0))))</f>
        <v>0</v>
      </c>
    </row>
    <row r="147" spans="1:9" x14ac:dyDescent="0.25">
      <c r="A147" s="12"/>
      <c r="B147" s="13"/>
      <c r="C147" s="17"/>
      <c r="D147" s="13"/>
      <c r="E147" s="13"/>
      <c r="F147" s="13"/>
      <c r="G147" s="15"/>
      <c r="H147" s="15"/>
      <c r="I147" s="16">
        <f>IF(C147="",0,IF(OR(A147="",A147="DNS"),0,IF(A147="DNF",1,IF(ISNUMBER(A147),IF($I$105="J",IF(A147&lt;=11,VLOOKUP(A147,Punten!$A$2:$C$31,3,FALSE()),1),IF(A147&lt;=30,VLOOKUP(A147,Punten!$A$2:$C$31,2,FALSE()),1)),0))))</f>
        <v>0</v>
      </c>
    </row>
    <row r="148" spans="1:9" x14ac:dyDescent="0.25">
      <c r="A148" s="12"/>
      <c r="B148" s="13"/>
      <c r="C148" s="17"/>
      <c r="D148" s="13"/>
      <c r="E148" s="13"/>
      <c r="F148" s="13"/>
      <c r="G148" s="15"/>
      <c r="H148" s="15"/>
      <c r="I148" s="16">
        <f>IF(C148="",0,IF(OR(A148="",A148="DNS"),0,IF(A148="DNF",1,IF(ISNUMBER(A148),IF($I$105="J",IF(A148&lt;=11,VLOOKUP(A148,Punten!$A$2:$C$31,3,FALSE()),1),IF(A148&lt;=30,VLOOKUP(A148,Punten!$A$2:$C$31,2,FALSE()),1)),0))))</f>
        <v>0</v>
      </c>
    </row>
    <row r="149" spans="1:9" x14ac:dyDescent="0.25">
      <c r="A149" s="12"/>
      <c r="B149" s="13"/>
      <c r="C149" s="17"/>
      <c r="D149" s="13"/>
      <c r="E149" s="13"/>
      <c r="F149" s="13"/>
      <c r="G149" s="15"/>
      <c r="H149" s="15"/>
      <c r="I149" s="16">
        <f>IF(C149="",0,IF(OR(A149="",A149="DNS"),0,IF(A149="DNF",1,IF(ISNUMBER(A149),IF($I$105="J",IF(A149&lt;=11,VLOOKUP(A149,Punten!$A$2:$C$31,3,FALSE()),1),IF(A149&lt;=30,VLOOKUP(A149,Punten!$A$2:$C$31,2,FALSE()),1)),0))))</f>
        <v>0</v>
      </c>
    </row>
    <row r="150" spans="1:9" x14ac:dyDescent="0.25">
      <c r="A150" s="12"/>
      <c r="B150" s="13"/>
      <c r="C150" s="17"/>
      <c r="D150" s="13"/>
      <c r="E150" s="13"/>
      <c r="F150" s="13"/>
      <c r="G150" s="15"/>
      <c r="H150" s="15"/>
      <c r="I150" s="16">
        <f>IF(C150="",0,IF(OR(A150="",A150="DNS"),0,IF(A150="DNF",1,IF(ISNUMBER(A150),IF($I$105="J",IF(A150&lt;=11,VLOOKUP(A150,Punten!$A$2:$C$31,3,FALSE()),1),IF(A150&lt;=30,VLOOKUP(A150,Punten!$A$2:$C$31,2,FALSE()),1)),0))))</f>
        <v>0</v>
      </c>
    </row>
    <row r="151" spans="1:9" x14ac:dyDescent="0.25">
      <c r="A151" s="12"/>
      <c r="B151" s="13"/>
      <c r="C151" s="17"/>
      <c r="D151" s="13"/>
      <c r="E151" s="13"/>
      <c r="F151" s="13"/>
      <c r="G151" s="15"/>
      <c r="H151" s="15"/>
      <c r="I151" s="16">
        <f>IF(C151="",0,IF(OR(A151="",A151="DNS"),0,IF(A151="DNF",1,IF(ISNUMBER(A151),IF($I$105="J",IF(A151&lt;=11,VLOOKUP(A151,Punten!$A$2:$C$31,3,FALSE()),1),IF(A151&lt;=30,VLOOKUP(A151,Punten!$A$2:$C$31,2,FALSE()),1)),0))))</f>
        <v>0</v>
      </c>
    </row>
    <row r="152" spans="1:9" x14ac:dyDescent="0.25">
      <c r="A152" s="12"/>
      <c r="B152" s="13"/>
      <c r="C152" s="17"/>
      <c r="D152" s="13"/>
      <c r="E152" s="13"/>
      <c r="F152" s="13"/>
      <c r="G152" s="15"/>
      <c r="H152" s="15"/>
      <c r="I152" s="16">
        <f>IF(C152="",0,IF(OR(A152="",A152="DNS"),0,IF(A152="DNF",1,IF(ISNUMBER(A152),IF($I$105="J",IF(A152&lt;=11,VLOOKUP(A152,Punten!$A$2:$C$31,3,FALSE()),1),IF(A152&lt;=30,VLOOKUP(A152,Punten!$A$2:$C$31,2,FALSE()),1)),0))))</f>
        <v>0</v>
      </c>
    </row>
    <row r="153" spans="1:9" x14ac:dyDescent="0.25">
      <c r="A153" s="12"/>
      <c r="B153" s="13"/>
      <c r="C153" s="17"/>
      <c r="D153" s="13"/>
      <c r="E153" s="13"/>
      <c r="F153" s="13"/>
      <c r="G153" s="15"/>
      <c r="H153" s="15"/>
      <c r="I153" s="16">
        <f>IF(C153="",0,IF(OR(A153="",A153="DNS"),0,IF(A153="DNF",1,IF(ISNUMBER(A153),IF($I$105="J",IF(A153&lt;=11,VLOOKUP(A153,Punten!$A$2:$C$31,3,FALSE()),1),IF(A153&lt;=30,VLOOKUP(A153,Punten!$A$2:$C$31,2,FALSE()),1)),0))))</f>
        <v>0</v>
      </c>
    </row>
    <row r="154" spans="1:9" x14ac:dyDescent="0.25">
      <c r="A154" s="12"/>
      <c r="B154" s="13"/>
      <c r="C154" s="17"/>
      <c r="D154" s="13"/>
      <c r="E154" s="13"/>
      <c r="F154" s="13"/>
      <c r="G154" s="15"/>
      <c r="H154" s="15"/>
      <c r="I154" s="16">
        <f>IF(C154="",0,IF(OR(A154="",A154="DNS"),0,IF(A154="DNF",1,IF(ISNUMBER(A154),IF($I$105="J",IF(A154&lt;=11,VLOOKUP(A154,Punten!$A$2:$C$31,3,FALSE()),1),IF(A154&lt;=30,VLOOKUP(A154,Punten!$A$2:$C$31,2,FALSE()),1)),0))))</f>
        <v>0</v>
      </c>
    </row>
    <row r="155" spans="1:9" x14ac:dyDescent="0.25">
      <c r="A155" s="12"/>
      <c r="B155" s="13"/>
      <c r="C155" s="17"/>
      <c r="D155" s="13"/>
      <c r="E155" s="13"/>
      <c r="F155" s="13"/>
      <c r="G155" s="15"/>
      <c r="H155" s="15"/>
      <c r="I155" s="16">
        <f>IF(C155="",0,IF(OR(A155="",A155="DNS"),0,IF(A155="DNF",1,IF(ISNUMBER(A155),IF($I$105="J",IF(A155&lt;=11,VLOOKUP(A155,Punten!$A$2:$C$31,3,FALSE()),1),IF(A155&lt;=30,VLOOKUP(A155,Punten!$A$2:$C$31,2,FALSE()),1)),0))))</f>
        <v>0</v>
      </c>
    </row>
    <row r="156" spans="1:9" x14ac:dyDescent="0.25">
      <c r="A156" s="12"/>
      <c r="B156" s="13"/>
      <c r="C156" s="17"/>
      <c r="D156" s="13"/>
      <c r="E156" s="13"/>
      <c r="F156" s="13"/>
      <c r="G156" s="15"/>
      <c r="H156" s="15"/>
      <c r="I156" s="16">
        <f>IF(C156="",0,IF(OR(A156="",A156="DNS"),0,IF(A156="DNF",1,IF(ISNUMBER(A156),IF($I$105="J",IF(A156&lt;=11,VLOOKUP(A156,Punten!$A$2:$C$31,3,FALSE()),1),IF(A156&lt;=30,VLOOKUP(A156,Punten!$A$2:$C$31,2,FALSE()),1)),0))))</f>
        <v>0</v>
      </c>
    </row>
    <row r="157" spans="1:9" x14ac:dyDescent="0.25">
      <c r="A157" s="12"/>
      <c r="B157" s="13"/>
      <c r="C157" s="17"/>
      <c r="D157" s="13"/>
      <c r="E157" s="13"/>
      <c r="F157" s="13"/>
      <c r="G157" s="15"/>
      <c r="H157" s="15"/>
      <c r="I157" s="16">
        <f>IF(C157="",0,IF(OR(A157="",A157="DNS"),0,IF(A157="DNF",1,IF(ISNUMBER(A157),IF($I$105="J",IF(A157&lt;=11,VLOOKUP(A157,Punten!$A$2:$C$31,3,FALSE()),1),IF(A157&lt;=30,VLOOKUP(A157,Punten!$A$2:$C$31,2,FALSE()),1)),0))))</f>
        <v>0</v>
      </c>
    </row>
    <row r="158" spans="1:9" x14ac:dyDescent="0.25">
      <c r="A158" s="12"/>
      <c r="B158" s="13"/>
      <c r="C158" s="17"/>
      <c r="D158" s="13"/>
      <c r="E158" s="13"/>
      <c r="F158" s="13"/>
      <c r="G158" s="15"/>
      <c r="H158" s="15"/>
      <c r="I158" s="16">
        <f>IF(C158="",0,IF(OR(A158="",A158="DNS"),0,IF(A158="DNF",1,IF(ISNUMBER(A158),IF($I$105="J",IF(A158&lt;=11,VLOOKUP(A158,Punten!$A$2:$C$31,3,FALSE()),1),IF(A158&lt;=30,VLOOKUP(A158,Punten!$A$2:$C$31,2,FALSE()),1)),0))))</f>
        <v>0</v>
      </c>
    </row>
    <row r="159" spans="1:9" x14ac:dyDescent="0.25">
      <c r="A159" s="12"/>
      <c r="B159" s="13"/>
      <c r="C159" s="17"/>
      <c r="D159" s="13"/>
      <c r="E159" s="13"/>
      <c r="F159" s="13"/>
      <c r="G159" s="15"/>
      <c r="H159" s="15"/>
      <c r="I159" s="16">
        <f>IF(C159="",0,IF(OR(A159="",A159="DNS"),0,IF(A159="DNF",1,IF(ISNUMBER(A159),IF($I$105="J",IF(A159&lt;=11,VLOOKUP(A159,Punten!$A$2:$C$31,3,FALSE()),1),IF(A159&lt;=30,VLOOKUP(A159,Punten!$A$2:$C$31,2,FALSE()),1)),0))))</f>
        <v>0</v>
      </c>
    </row>
    <row r="160" spans="1:9" x14ac:dyDescent="0.25">
      <c r="A160" s="12"/>
      <c r="B160" s="13"/>
      <c r="C160" s="17"/>
      <c r="D160" s="13"/>
      <c r="E160" s="13"/>
      <c r="F160" s="13"/>
      <c r="G160" s="15"/>
      <c r="H160" s="15"/>
      <c r="I160" s="16">
        <f>IF(C160="",0,IF(OR(A160="",A160="DNS"),0,IF(A160="DNF",1,IF(ISNUMBER(A160),IF($I$105="J",IF(A160&lt;=11,VLOOKUP(A160,Punten!$A$2:$C$31,3,FALSE()),1),IF(A160&lt;=30,VLOOKUP(A160,Punten!$A$2:$C$31,2,FALSE()),1)),0))))</f>
        <v>0</v>
      </c>
    </row>
    <row r="161" spans="1:9" x14ac:dyDescent="0.25">
      <c r="A161" s="12"/>
      <c r="B161" s="13"/>
      <c r="C161" s="17"/>
      <c r="D161" s="13"/>
      <c r="E161" s="13"/>
      <c r="F161" s="13"/>
      <c r="G161" s="15"/>
      <c r="H161" s="15"/>
      <c r="I161" s="16">
        <f>IF(C161="",0,IF(OR(A161="",A161="DNS"),0,IF(A161="DNF",1,IF(ISNUMBER(A161),IF($I$105="J",IF(A161&lt;=11,VLOOKUP(A161,Punten!$A$2:$C$31,3,FALSE()),1),IF(A161&lt;=30,VLOOKUP(A161,Punten!$A$2:$C$31,2,FALSE()),1)),0))))</f>
        <v>0</v>
      </c>
    </row>
    <row r="162" spans="1:9" x14ac:dyDescent="0.25">
      <c r="A162" s="12"/>
      <c r="B162" s="13"/>
      <c r="C162" s="17"/>
      <c r="D162" s="13"/>
      <c r="E162" s="13"/>
      <c r="F162" s="13"/>
      <c r="G162" s="15"/>
      <c r="H162" s="15"/>
      <c r="I162" s="16">
        <f>IF(C162="",0,IF(OR(A162="",A162="DNS"),0,IF(A162="DNF",1,IF(ISNUMBER(A162),IF($I$105="J",IF(A162&lt;=11,VLOOKUP(A162,Punten!$A$2:$C$31,3,FALSE()),1),IF(A162&lt;=30,VLOOKUP(A162,Punten!$A$2:$C$31,2,FALSE()),1)),0))))</f>
        <v>0</v>
      </c>
    </row>
    <row r="163" spans="1:9" x14ac:dyDescent="0.25">
      <c r="A163" s="12"/>
      <c r="B163" s="13"/>
      <c r="C163" s="17"/>
      <c r="D163" s="13"/>
      <c r="E163" s="13"/>
      <c r="F163" s="13"/>
      <c r="G163" s="15"/>
      <c r="H163" s="15"/>
      <c r="I163" s="16">
        <f>IF(C163="",0,IF(OR(A163="",A163="DNS"),0,IF(A163="DNF",1,IF(ISNUMBER(A163),IF($I$105="J",IF(A163&lt;=11,VLOOKUP(A163,Punten!$A$2:$C$31,3,FALSE()),1),IF(A163&lt;=30,VLOOKUP(A163,Punten!$A$2:$C$31,2,FALSE()),1)),0))))</f>
        <v>0</v>
      </c>
    </row>
    <row r="164" spans="1:9" x14ac:dyDescent="0.25">
      <c r="A164" s="12"/>
      <c r="B164" s="13"/>
      <c r="C164" s="17"/>
      <c r="D164" s="13"/>
      <c r="E164" s="13"/>
      <c r="F164" s="13"/>
      <c r="G164" s="15"/>
      <c r="H164" s="15"/>
      <c r="I164" s="16">
        <f>IF(C164="",0,IF(OR(A164="",A164="DNS"),0,IF(A164="DNF",1,IF(ISNUMBER(A164),IF($I$105="J",IF(A164&lt;=11,VLOOKUP(A164,Punten!$A$2:$C$31,3,FALSE()),1),IF(A164&lt;=30,VLOOKUP(A164,Punten!$A$2:$C$31,2,FALSE()),1)),0))))</f>
        <v>0</v>
      </c>
    </row>
    <row r="165" spans="1:9" x14ac:dyDescent="0.25">
      <c r="A165" s="12"/>
      <c r="B165" s="13"/>
      <c r="C165" s="17"/>
      <c r="D165" s="13"/>
      <c r="E165" s="13"/>
      <c r="F165" s="13"/>
      <c r="G165" s="15"/>
      <c r="H165" s="15"/>
      <c r="I165" s="16">
        <f>IF(C165="",0,IF(OR(A165="",A165="DNS"),0,IF(A165="DNF",1,IF(ISNUMBER(A165),IF($I$105="J",IF(A165&lt;=11,VLOOKUP(A165,Punten!$A$2:$C$31,3,FALSE()),1),IF(A165&lt;=30,VLOOKUP(A165,Punten!$A$2:$C$31,2,FALSE()),1)),0))))</f>
        <v>0</v>
      </c>
    </row>
    <row r="166" spans="1:9" x14ac:dyDescent="0.25">
      <c r="A166" s="12"/>
      <c r="B166" s="13"/>
      <c r="C166" s="17"/>
      <c r="D166" s="13"/>
      <c r="E166" s="13"/>
      <c r="F166" s="13"/>
      <c r="G166" s="15"/>
      <c r="H166" s="15"/>
      <c r="I166" s="16">
        <f>IF(C166="",0,IF(OR(A166="",A166="DNS"),0,IF(A166="DNF",1,IF(ISNUMBER(A166),IF($I$105="J",IF(A166&lt;=11,VLOOKUP(A166,Punten!$A$2:$C$31,3,FALSE()),1),IF(A166&lt;=30,VLOOKUP(A166,Punten!$A$2:$C$31,2,FALSE()),1)),0))))</f>
        <v>0</v>
      </c>
    </row>
    <row r="167" spans="1:9" x14ac:dyDescent="0.25">
      <c r="A167" s="12"/>
      <c r="B167" s="13"/>
      <c r="C167" s="17"/>
      <c r="D167" s="13"/>
      <c r="E167" s="13"/>
      <c r="F167" s="13"/>
      <c r="G167" s="15"/>
      <c r="H167" s="15"/>
      <c r="I167" s="16">
        <f>IF(C167="",0,IF(OR(A167="",A167="DNS"),0,IF(A167="DNF",1,IF(ISNUMBER(A167),IF($I$105="J",IF(A167&lt;=11,VLOOKUP(A167,Punten!$A$2:$C$31,3,FALSE()),1),IF(A167&lt;=30,VLOOKUP(A167,Punten!$A$2:$C$31,2,FALSE()),1)),0))))</f>
        <v>0</v>
      </c>
    </row>
    <row r="168" spans="1:9" x14ac:dyDescent="0.25">
      <c r="A168" s="12"/>
      <c r="B168" s="13"/>
      <c r="C168" s="17"/>
      <c r="D168" s="13"/>
      <c r="E168" s="13"/>
      <c r="F168" s="13"/>
      <c r="G168" s="15"/>
      <c r="H168" s="15"/>
      <c r="I168" s="16">
        <f>IF(C168="",0,IF(OR(A168="",A168="DNS"),0,IF(A168="DNF",1,IF(ISNUMBER(A168),IF($I$105="J",IF(A168&lt;=11,VLOOKUP(A168,Punten!$A$2:$C$31,3,FALSE()),1),IF(A168&lt;=30,VLOOKUP(A168,Punten!$A$2:$C$31,2,FALSE()),1)),0))))</f>
        <v>0</v>
      </c>
    </row>
    <row r="169" spans="1:9" x14ac:dyDescent="0.25">
      <c r="A169" s="12"/>
      <c r="B169" s="13"/>
      <c r="C169" s="17"/>
      <c r="D169" s="13"/>
      <c r="E169" s="13"/>
      <c r="F169" s="13"/>
      <c r="G169" s="15"/>
      <c r="H169" s="15"/>
      <c r="I169" s="16">
        <f>IF(C169="",0,IF(OR(A169="",A169="DNS"),0,IF(A169="DNF",1,IF(ISNUMBER(A169),IF($I$105="J",IF(A169&lt;=11,VLOOKUP(A169,Punten!$A$2:$C$31,3,FALSE()),1),IF(A169&lt;=30,VLOOKUP(A169,Punten!$A$2:$C$31,2,FALSE()),1)),0))))</f>
        <v>0</v>
      </c>
    </row>
    <row r="170" spans="1:9" x14ac:dyDescent="0.25">
      <c r="A170" s="12"/>
      <c r="B170" s="13"/>
      <c r="C170" s="17"/>
      <c r="D170" s="13"/>
      <c r="E170" s="13"/>
      <c r="F170" s="13"/>
      <c r="G170" s="15"/>
      <c r="H170" s="15"/>
      <c r="I170" s="16">
        <f>IF(C170="",0,IF(OR(A170="",A170="DNS"),0,IF(A170="DNF",1,IF(ISNUMBER(A170),IF($I$105="J",IF(A170&lt;=11,VLOOKUP(A170,Punten!$A$2:$C$31,3,FALSE()),1),IF(A170&lt;=30,VLOOKUP(A170,Punten!$A$2:$C$31,2,FALSE()),1)),0))))</f>
        <v>0</v>
      </c>
    </row>
    <row r="171" spans="1:9" x14ac:dyDescent="0.25">
      <c r="A171" s="12"/>
      <c r="B171" s="13"/>
      <c r="C171" s="17"/>
      <c r="D171" s="13"/>
      <c r="E171" s="13"/>
      <c r="F171" s="13"/>
      <c r="G171" s="15"/>
      <c r="H171" s="15"/>
      <c r="I171" s="16">
        <f>IF(C171="",0,IF(OR(A171="",A171="DNS"),0,IF(A171="DNF",1,IF(ISNUMBER(A171),IF($I$105="J",IF(A171&lt;=11,VLOOKUP(A171,Punten!$A$2:$C$31,3,FALSE()),1),IF(A171&lt;=30,VLOOKUP(A171,Punten!$A$2:$C$31,2,FALSE()),1)),0))))</f>
        <v>0</v>
      </c>
    </row>
    <row r="172" spans="1:9" x14ac:dyDescent="0.25">
      <c r="A172" s="12"/>
      <c r="B172" s="13"/>
      <c r="C172" s="17"/>
      <c r="D172" s="13"/>
      <c r="E172" s="13"/>
      <c r="F172" s="13"/>
      <c r="G172" s="15"/>
      <c r="H172" s="15"/>
      <c r="I172" s="16">
        <f>IF(C172="",0,IF(OR(A172="",A172="DNS"),0,IF(A172="DNF",1,IF(ISNUMBER(A172),IF($I$105="J",IF(A172&lt;=11,VLOOKUP(A172,Punten!$A$2:$C$31,3,FALSE()),1),IF(A172&lt;=30,VLOOKUP(A172,Punten!$A$2:$C$31,2,FALSE()),1)),0))))</f>
        <v>0</v>
      </c>
    </row>
    <row r="173" spans="1:9" x14ac:dyDescent="0.25">
      <c r="A173" s="12"/>
      <c r="B173" s="13"/>
      <c r="C173" s="17"/>
      <c r="D173" s="13"/>
      <c r="E173" s="13"/>
      <c r="F173" s="13"/>
      <c r="G173" s="15"/>
      <c r="H173" s="15"/>
      <c r="I173" s="16">
        <f>IF(C173="",0,IF(OR(A173="",A173="DNS"),0,IF(A173="DNF",1,IF(ISNUMBER(A173),IF($I$105="J",IF(A173&lt;=11,VLOOKUP(A173,Punten!$A$2:$C$31,3,FALSE()),1),IF(A173&lt;=30,VLOOKUP(A173,Punten!$A$2:$C$31,2,FALSE()),1)),0))))</f>
        <v>0</v>
      </c>
    </row>
    <row r="174" spans="1:9" x14ac:dyDescent="0.25">
      <c r="A174" s="12"/>
      <c r="B174" s="13"/>
      <c r="C174" s="17"/>
      <c r="D174" s="13"/>
      <c r="E174" s="13"/>
      <c r="F174" s="13"/>
      <c r="G174" s="15"/>
      <c r="H174" s="15"/>
      <c r="I174" s="16">
        <f>IF(C174="",0,IF(OR(A174="",A174="DNS"),0,IF(A174="DNF",1,IF(ISNUMBER(A174),IF($I$105="J",IF(A174&lt;=11,VLOOKUP(A174,Punten!$A$2:$C$31,3,FALSE()),1),IF(A174&lt;=30,VLOOKUP(A174,Punten!$A$2:$C$31,2,FALSE()),1)),0))))</f>
        <v>0</v>
      </c>
    </row>
    <row r="175" spans="1:9" x14ac:dyDescent="0.25">
      <c r="A175" s="12"/>
      <c r="B175" s="13"/>
      <c r="C175" s="17"/>
      <c r="D175" s="13"/>
      <c r="E175" s="13"/>
      <c r="F175" s="13"/>
      <c r="G175" s="15"/>
      <c r="H175" s="15"/>
      <c r="I175" s="16">
        <f>IF(C175="",0,IF(OR(A175="",A175="DNS"),0,IF(A175="DNF",1,IF(ISNUMBER(A175),IF($I$105="J",IF(A175&lt;=11,VLOOKUP(A175,Punten!$A$2:$C$31,3,FALSE()),1),IF(A175&lt;=30,VLOOKUP(A175,Punten!$A$2:$C$31,2,FALSE()),1)),0))))</f>
        <v>0</v>
      </c>
    </row>
    <row r="176" spans="1:9" x14ac:dyDescent="0.25">
      <c r="A176" s="12"/>
      <c r="B176" s="13"/>
      <c r="C176" s="17"/>
      <c r="D176" s="13"/>
      <c r="E176" s="13"/>
      <c r="F176" s="13"/>
      <c r="G176" s="15"/>
      <c r="H176" s="15"/>
      <c r="I176" s="16">
        <f>IF(C176="",0,IF(OR(A176="",A176="DNS"),0,IF(A176="DNF",1,IF(ISNUMBER(A176),IF($I$105="J",IF(A176&lt;=11,VLOOKUP(A176,Punten!$A$2:$C$31,3,FALSE()),1),IF(A176&lt;=30,VLOOKUP(A176,Punten!$A$2:$C$31,2,FALSE()),1)),0))))</f>
        <v>0</v>
      </c>
    </row>
    <row r="177" spans="1:9" x14ac:dyDescent="0.25">
      <c r="A177" s="12"/>
      <c r="B177" s="13"/>
      <c r="C177" s="17"/>
      <c r="D177" s="13"/>
      <c r="E177" s="13"/>
      <c r="F177" s="13"/>
      <c r="G177" s="15"/>
      <c r="H177" s="15"/>
      <c r="I177" s="16">
        <f>IF(C177="",0,IF(OR(A177="",A177="DNS"),0,IF(A177="DNF",1,IF(ISNUMBER(A177),IF($I$105="J",IF(A177&lt;=11,VLOOKUP(A177,Punten!$A$2:$C$31,3,FALSE()),1),IF(A177&lt;=30,VLOOKUP(A177,Punten!$A$2:$C$31,2,FALSE()),1)),0))))</f>
        <v>0</v>
      </c>
    </row>
    <row r="178" spans="1:9" x14ac:dyDescent="0.25">
      <c r="A178" s="12"/>
      <c r="B178" s="13"/>
      <c r="C178" s="17"/>
      <c r="D178" s="13"/>
      <c r="E178" s="13"/>
      <c r="F178" s="13"/>
      <c r="G178" s="15"/>
      <c r="H178" s="15"/>
      <c r="I178" s="16">
        <f>IF(C178="",0,IF(OR(A178="",A178="DNS"),0,IF(A178="DNF",1,IF(ISNUMBER(A178),IF($I$105="J",IF(A178&lt;=11,VLOOKUP(A178,Punten!$A$2:$C$31,3,FALSE()),1),IF(A178&lt;=30,VLOOKUP(A178,Punten!$A$2:$C$31,2,FALSE()),1)),0))))</f>
        <v>0</v>
      </c>
    </row>
    <row r="179" spans="1:9" x14ac:dyDescent="0.25">
      <c r="A179" s="12"/>
      <c r="B179" s="13"/>
      <c r="C179" s="17"/>
      <c r="D179" s="13"/>
      <c r="E179" s="13"/>
      <c r="F179" s="13"/>
      <c r="G179" s="15"/>
      <c r="H179" s="15"/>
      <c r="I179" s="16">
        <f>IF(C179="",0,IF(OR(A179="",A179="DNS"),0,IF(A179="DNF",1,IF(ISNUMBER(A179),IF($I$105="J",IF(A179&lt;=11,VLOOKUP(A179,Punten!$A$2:$C$31,3,FALSE()),1),IF(A179&lt;=30,VLOOKUP(A179,Punten!$A$2:$C$31,2,FALSE()),1)),0))))</f>
        <v>0</v>
      </c>
    </row>
    <row r="180" spans="1:9" x14ac:dyDescent="0.25">
      <c r="A180" s="12"/>
      <c r="B180" s="13"/>
      <c r="C180" s="17"/>
      <c r="D180" s="13"/>
      <c r="E180" s="13"/>
      <c r="F180" s="13"/>
      <c r="G180" s="15"/>
      <c r="H180" s="15"/>
      <c r="I180" s="16">
        <f>IF(C180="",0,IF(OR(A180="",A180="DNS"),0,IF(A180="DNF",1,IF(ISNUMBER(A180),IF($I$105="J",IF(A180&lt;=11,VLOOKUP(A180,Punten!$A$2:$C$31,3,FALSE()),1),IF(A180&lt;=30,VLOOKUP(A180,Punten!$A$2:$C$31,2,FALSE()),1)),0))))</f>
        <v>0</v>
      </c>
    </row>
    <row r="181" spans="1:9" x14ac:dyDescent="0.25">
      <c r="A181" s="12"/>
      <c r="B181" s="13"/>
      <c r="C181" s="17"/>
      <c r="D181" s="13"/>
      <c r="E181" s="13"/>
      <c r="F181" s="13"/>
      <c r="G181" s="15"/>
      <c r="H181" s="15"/>
      <c r="I181" s="16">
        <f>IF(C181="",0,IF(OR(A181="",A181="DNS"),0,IF(A181="DNF",1,IF(ISNUMBER(A181),IF($I$105="J",IF(A181&lt;=11,VLOOKUP(A181,Punten!$A$2:$C$31,3,FALSE()),1),IF(A181&lt;=30,VLOOKUP(A181,Punten!$A$2:$C$31,2,FALSE()),1)),0))))</f>
        <v>0</v>
      </c>
    </row>
    <row r="182" spans="1:9" x14ac:dyDescent="0.25">
      <c r="A182" s="12"/>
      <c r="B182" s="13"/>
      <c r="C182" s="17"/>
      <c r="D182" s="13"/>
      <c r="E182" s="13"/>
      <c r="F182" s="13"/>
      <c r="G182" s="15"/>
      <c r="H182" s="15"/>
      <c r="I182" s="16">
        <f>IF(C182="",0,IF(OR(A182="",A182="DNS"),0,IF(A182="DNF",1,IF(ISNUMBER(A182),IF($I$105="J",IF(A182&lt;=11,VLOOKUP(A182,Punten!$A$2:$C$31,3,FALSE()),1),IF(A182&lt;=30,VLOOKUP(A182,Punten!$A$2:$C$31,2,FALSE()),1)),0))))</f>
        <v>0</v>
      </c>
    </row>
    <row r="183" spans="1:9" x14ac:dyDescent="0.25">
      <c r="A183" s="12"/>
      <c r="B183" s="13"/>
      <c r="C183" s="17"/>
      <c r="D183" s="13"/>
      <c r="E183" s="13"/>
      <c r="F183" s="13"/>
      <c r="G183" s="15"/>
      <c r="H183" s="15"/>
      <c r="I183" s="16">
        <f>IF(C183="",0,IF(OR(A183="",A183="DNS"),0,IF(A183="DNF",1,IF(ISNUMBER(A183),IF($I$105="J",IF(A183&lt;=11,VLOOKUP(A183,Punten!$A$2:$C$31,3,FALSE()),1),IF(A183&lt;=30,VLOOKUP(A183,Punten!$A$2:$C$31,2,FALSE()),1)),0))))</f>
        <v>0</v>
      </c>
    </row>
    <row r="184" spans="1:9" x14ac:dyDescent="0.25">
      <c r="A184" s="12"/>
      <c r="B184" s="13"/>
      <c r="C184" s="17"/>
      <c r="D184" s="13"/>
      <c r="E184" s="13"/>
      <c r="F184" s="13"/>
      <c r="G184" s="15"/>
      <c r="H184" s="15"/>
      <c r="I184" s="16">
        <f>IF(C184="",0,IF(OR(A184="",A184="DNS"),0,IF(A184="DNF",1,IF(ISNUMBER(A184),IF($I$105="J",IF(A184&lt;=11,VLOOKUP(A184,Punten!$A$2:$C$31,3,FALSE()),1),IF(A184&lt;=30,VLOOKUP(A184,Punten!$A$2:$C$31,2,FALSE()),1)),0))))</f>
        <v>0</v>
      </c>
    </row>
    <row r="185" spans="1:9" x14ac:dyDescent="0.25">
      <c r="A185" s="12"/>
      <c r="B185" s="13"/>
      <c r="C185" s="17"/>
      <c r="D185" s="13"/>
      <c r="E185" s="13"/>
      <c r="F185" s="13"/>
      <c r="G185" s="15"/>
      <c r="H185" s="15"/>
      <c r="I185" s="16">
        <f>IF(C185="",0,IF(OR(A185="",A185="DNS"),0,IF(A185="DNF",1,IF(ISNUMBER(A185),IF($I$105="J",IF(A185&lt;=11,VLOOKUP(A185,Punten!$A$2:$C$31,3,FALSE()),1),IF(A185&lt;=30,VLOOKUP(A185,Punten!$A$2:$C$31,2,FALSE()),1)),0))))</f>
        <v>0</v>
      </c>
    </row>
    <row r="186" spans="1:9" x14ac:dyDescent="0.25">
      <c r="A186" s="12"/>
      <c r="B186" s="13"/>
      <c r="C186" s="17"/>
      <c r="D186" s="13"/>
      <c r="E186" s="13"/>
      <c r="F186" s="13"/>
      <c r="G186" s="15"/>
      <c r="H186" s="15"/>
      <c r="I186" s="16">
        <f>IF(C186="",0,IF(OR(A186="",A186="DNS"),0,IF(A186="DNF",1,IF(ISNUMBER(A186),IF($I$105="J",IF(A186&lt;=11,VLOOKUP(A186,Punten!$A$2:$C$31,3,FALSE()),1),IF(A186&lt;=30,VLOOKUP(A186,Punten!$A$2:$C$31,2,FALSE()),1)),0))))</f>
        <v>0</v>
      </c>
    </row>
    <row r="187" spans="1:9" x14ac:dyDescent="0.25">
      <c r="A187" s="12"/>
      <c r="B187" s="13"/>
      <c r="C187" s="17"/>
      <c r="D187" s="13"/>
      <c r="E187" s="13"/>
      <c r="F187" s="13"/>
      <c r="G187" s="15"/>
      <c r="H187" s="15"/>
      <c r="I187" s="16">
        <f>IF(C187="",0,IF(OR(A187="",A187="DNS"),0,IF(A187="DNF",1,IF(ISNUMBER(A187),IF($I$105="J",IF(A187&lt;=11,VLOOKUP(A187,Punten!$A$2:$C$31,3,FALSE()),1),IF(A187&lt;=30,VLOOKUP(A187,Punten!$A$2:$C$31,2,FALSE()),1)),0))))</f>
        <v>0</v>
      </c>
    </row>
    <row r="188" spans="1:9" x14ac:dyDescent="0.25">
      <c r="A188" s="12"/>
      <c r="B188" s="13"/>
      <c r="C188" s="17"/>
      <c r="D188" s="13"/>
      <c r="E188" s="13"/>
      <c r="F188" s="13"/>
      <c r="G188" s="15"/>
      <c r="H188" s="15"/>
      <c r="I188" s="16">
        <f>IF(C188="",0,IF(OR(A188="",A188="DNS"),0,IF(A188="DNF",1,IF(ISNUMBER(A188),IF($I$105="J",IF(A188&lt;=11,VLOOKUP(A188,Punten!$A$2:$C$31,3,FALSE()),1),IF(A188&lt;=30,VLOOKUP(A188,Punten!$A$2:$C$31,2,FALSE()),1)),0))))</f>
        <v>0</v>
      </c>
    </row>
    <row r="189" spans="1:9" x14ac:dyDescent="0.25">
      <c r="A189" s="12"/>
      <c r="B189" s="13"/>
      <c r="C189" s="17"/>
      <c r="D189" s="13"/>
      <c r="E189" s="13"/>
      <c r="F189" s="13"/>
      <c r="G189" s="15"/>
      <c r="H189" s="15"/>
      <c r="I189" s="16">
        <f>IF(C189="",0,IF(OR(A189="",A189="DNS"),0,IF(A189="DNF",1,IF(ISNUMBER(A189),IF($I$105="J",IF(A189&lt;=11,VLOOKUP(A189,Punten!$A$2:$C$31,3,FALSE()),1),IF(A189&lt;=30,VLOOKUP(A189,Punten!$A$2:$C$31,2,FALSE()),1)),0))))</f>
        <v>0</v>
      </c>
    </row>
    <row r="190" spans="1:9" x14ac:dyDescent="0.25">
      <c r="A190" s="12"/>
      <c r="B190" s="13"/>
      <c r="C190" s="17"/>
      <c r="D190" s="13"/>
      <c r="E190" s="13"/>
      <c r="F190" s="13"/>
      <c r="G190" s="15"/>
      <c r="H190" s="15"/>
      <c r="I190" s="16">
        <f>IF(C190="",0,IF(OR(A190="",A190="DNS"),0,IF(A190="DNF",1,IF(ISNUMBER(A190),IF($I$105="J",IF(A190&lt;=11,VLOOKUP(A190,Punten!$A$2:$C$31,3,FALSE()),1),IF(A190&lt;=30,VLOOKUP(A190,Punten!$A$2:$C$31,2,FALSE()),1)),0))))</f>
        <v>0</v>
      </c>
    </row>
    <row r="191" spans="1:9" x14ac:dyDescent="0.25">
      <c r="A191" s="12"/>
      <c r="B191" s="13"/>
      <c r="C191" s="17"/>
      <c r="D191" s="13"/>
      <c r="E191" s="13"/>
      <c r="F191" s="13"/>
      <c r="G191" s="15"/>
      <c r="H191" s="15"/>
      <c r="I191" s="16">
        <f>IF(C191="",0,IF(OR(A191="",A191="DNS"),0,IF(A191="DNF",1,IF(ISNUMBER(A191),IF($I$105="J",IF(A191&lt;=11,VLOOKUP(A191,Punten!$A$2:$C$31,3,FALSE()),1),IF(A191&lt;=30,VLOOKUP(A191,Punten!$A$2:$C$31,2,FALSE()),1)),0))))</f>
        <v>0</v>
      </c>
    </row>
    <row r="192" spans="1:9" x14ac:dyDescent="0.25">
      <c r="A192" s="12"/>
      <c r="B192" s="13"/>
      <c r="C192" s="17"/>
      <c r="D192" s="13"/>
      <c r="E192" s="13"/>
      <c r="F192" s="13"/>
      <c r="G192" s="15"/>
      <c r="H192" s="15"/>
      <c r="I192" s="16">
        <f>IF(C192="",0,IF(OR(A192="",A192="DNS"),0,IF(A192="DNF",1,IF(ISNUMBER(A192),IF($I$105="J",IF(A192&lt;=11,VLOOKUP(A192,Punten!$A$2:$C$31,3,FALSE()),1),IF(A192&lt;=30,VLOOKUP(A192,Punten!$A$2:$C$31,2,FALSE()),1)),0))))</f>
        <v>0</v>
      </c>
    </row>
    <row r="193" spans="1:9" x14ac:dyDescent="0.25">
      <c r="A193" s="12"/>
      <c r="B193" s="13"/>
      <c r="C193" s="17"/>
      <c r="D193" s="13"/>
      <c r="E193" s="13"/>
      <c r="F193" s="13"/>
      <c r="G193" s="15"/>
      <c r="H193" s="15"/>
      <c r="I193" s="16">
        <f>IF(C193="",0,IF(OR(A193="",A193="DNS"),0,IF(A193="DNF",1,IF(ISNUMBER(A193),IF($I$105="J",IF(A193&lt;=11,VLOOKUP(A193,Punten!$A$2:$C$31,3,FALSE()),1),IF(A193&lt;=30,VLOOKUP(A193,Punten!$A$2:$C$31,2,FALSE()),1)),0))))</f>
        <v>0</v>
      </c>
    </row>
    <row r="194" spans="1:9" x14ac:dyDescent="0.25">
      <c r="A194" s="12"/>
      <c r="B194" s="13"/>
      <c r="C194" s="17"/>
      <c r="D194" s="13"/>
      <c r="E194" s="13"/>
      <c r="F194" s="13"/>
      <c r="G194" s="15"/>
      <c r="H194" s="15"/>
      <c r="I194" s="16">
        <f>IF(C194="",0,IF(OR(A194="",A194="DNS"),0,IF(A194="DNF",1,IF(ISNUMBER(A194),IF($I$105="J",IF(A194&lt;=11,VLOOKUP(A194,Punten!$A$2:$C$31,3,FALSE()),1),IF(A194&lt;=30,VLOOKUP(A194,Punten!$A$2:$C$31,2,FALSE()),1)),0))))</f>
        <v>0</v>
      </c>
    </row>
    <row r="195" spans="1:9" x14ac:dyDescent="0.25">
      <c r="A195" s="12"/>
      <c r="B195" s="13"/>
      <c r="C195" s="17"/>
      <c r="D195" s="13"/>
      <c r="E195" s="13"/>
      <c r="F195" s="13"/>
      <c r="G195" s="15"/>
      <c r="H195" s="15"/>
      <c r="I195" s="16">
        <f>IF(C195="",0,IF(OR(A195="",A195="DNS"),0,IF(A195="DNF",1,IF(ISNUMBER(A195),IF($I$105="J",IF(A195&lt;=11,VLOOKUP(A195,Punten!$A$2:$C$31,3,FALSE()),1),IF(A195&lt;=30,VLOOKUP(A195,Punten!$A$2:$C$31,2,FALSE()),1)),0))))</f>
        <v>0</v>
      </c>
    </row>
    <row r="196" spans="1:9" x14ac:dyDescent="0.25">
      <c r="A196" s="12"/>
      <c r="B196" s="13"/>
      <c r="C196" s="17"/>
      <c r="D196" s="13"/>
      <c r="E196" s="13"/>
      <c r="F196" s="13"/>
      <c r="G196" s="15"/>
      <c r="H196" s="15"/>
      <c r="I196" s="16">
        <f>IF(C196="",0,IF(OR(A196="",A196="DNS"),0,IF(A196="DNF",1,IF(ISNUMBER(A196),IF($I$105="J",IF(A196&lt;=11,VLOOKUP(A196,Punten!$A$2:$C$31,3,FALSE()),1),IF(A196&lt;=30,VLOOKUP(A196,Punten!$A$2:$C$31,2,FALSE()),1)),0))))</f>
        <v>0</v>
      </c>
    </row>
    <row r="197" spans="1:9" x14ac:dyDescent="0.25">
      <c r="A197" s="12"/>
      <c r="B197" s="13"/>
      <c r="C197" s="17"/>
      <c r="D197" s="13"/>
      <c r="E197" s="13"/>
      <c r="F197" s="13"/>
      <c r="G197" s="15"/>
      <c r="H197" s="15"/>
      <c r="I197" s="16">
        <f>IF(C197="",0,IF(OR(A197="",A197="DNS"),0,IF(A197="DNF",1,IF(ISNUMBER(A197),IF($I$105="J",IF(A197&lt;=11,VLOOKUP(A197,Punten!$A$2:$C$31,3,FALSE()),1),IF(A197&lt;=30,VLOOKUP(A197,Punten!$A$2:$C$31,2,FALSE()),1)),0))))</f>
        <v>0</v>
      </c>
    </row>
    <row r="198" spans="1:9" x14ac:dyDescent="0.25">
      <c r="A198" s="12"/>
      <c r="B198" s="13"/>
      <c r="C198" s="17"/>
      <c r="D198" s="13"/>
      <c r="E198" s="13"/>
      <c r="F198" s="13"/>
      <c r="G198" s="15"/>
      <c r="H198" s="15"/>
      <c r="I198" s="16">
        <f>IF(C198="",0,IF(OR(A198="",A198="DNS"),0,IF(A198="DNF",1,IF(ISNUMBER(A198),IF($I$105="J",IF(A198&lt;=11,VLOOKUP(A198,Punten!$A$2:$C$31,3,FALSE()),1),IF(A198&lt;=30,VLOOKUP(A198,Punten!$A$2:$C$31,2,FALSE()),1)),0))))</f>
        <v>0</v>
      </c>
    </row>
    <row r="199" spans="1:9" x14ac:dyDescent="0.25">
      <c r="A199" s="12"/>
      <c r="B199" s="13"/>
      <c r="C199" s="17"/>
      <c r="D199" s="13"/>
      <c r="E199" s="13"/>
      <c r="F199" s="13"/>
      <c r="G199" s="15"/>
      <c r="H199" s="15"/>
      <c r="I199" s="16">
        <f>IF(C199="",0,IF(OR(A199="",A199="DNS"),0,IF(A199="DNF",1,IF(ISNUMBER(A199),IF($I$105="J",IF(A199&lt;=11,VLOOKUP(A199,Punten!$A$2:$C$31,3,FALSE()),1),IF(A199&lt;=30,VLOOKUP(A199,Punten!$A$2:$C$31,2,FALSE()),1)),0))))</f>
        <v>0</v>
      </c>
    </row>
    <row r="200" spans="1:9" x14ac:dyDescent="0.25">
      <c r="A200" s="12"/>
      <c r="B200" s="13"/>
      <c r="C200" s="17"/>
      <c r="D200" s="13"/>
      <c r="E200" s="13"/>
      <c r="F200" s="13"/>
      <c r="G200" s="15"/>
      <c r="H200" s="15"/>
      <c r="I200" s="16">
        <f>IF(C200="",0,IF(OR(A200="",A200="DNS"),0,IF(A200="DNF",1,IF(ISNUMBER(A200),IF($I$105="J",IF(A200&lt;=11,VLOOKUP(A200,Punten!$A$2:$C$31,3,FALSE()),1),IF(A200&lt;=30,VLOOKUP(A200,Punten!$A$2:$C$31,2,FALSE()),1)),0))))</f>
        <v>0</v>
      </c>
    </row>
    <row r="201" spans="1:9" x14ac:dyDescent="0.25">
      <c r="A201" s="12"/>
      <c r="B201" s="13"/>
      <c r="C201" s="17"/>
      <c r="D201" s="13"/>
      <c r="E201" s="13"/>
      <c r="F201" s="13"/>
      <c r="G201" s="15"/>
      <c r="H201" s="15"/>
      <c r="I201" s="16">
        <f>IF(C201="",0,IF(OR(A201="",A201="DNS"),0,IF(A201="DNF",1,IF(ISNUMBER(A201),IF($I$105="J",IF(A201&lt;=11,VLOOKUP(A201,Punten!$A$2:$C$31,3,FALSE()),1),IF(A201&lt;=30,VLOOKUP(A201,Punten!$A$2:$C$31,2,FALSE()),1)),0))))</f>
        <v>0</v>
      </c>
    </row>
    <row r="202" spans="1:9" x14ac:dyDescent="0.25">
      <c r="A202" s="12"/>
      <c r="B202" s="13"/>
      <c r="C202" s="17"/>
      <c r="D202" s="13"/>
      <c r="E202" s="13"/>
      <c r="F202" s="13"/>
      <c r="G202" s="15"/>
      <c r="H202" s="15"/>
      <c r="I202" s="16">
        <f>IF(C202="",0,IF(OR(A202="",A202="DNS"),0,IF(A202="DNF",1,IF(ISNUMBER(A202),IF($I$105="J",IF(A202&lt;=11,VLOOKUP(A202,Punten!$A$2:$C$31,3,FALSE()),1),IF(A202&lt;=30,VLOOKUP(A202,Punten!$A$2:$C$31,2,FALSE()),1)),0))))</f>
        <v>0</v>
      </c>
    </row>
    <row r="203" spans="1:9" x14ac:dyDescent="0.25">
      <c r="A203" s="12"/>
      <c r="B203" s="13"/>
      <c r="C203" s="17"/>
      <c r="D203" s="13"/>
      <c r="E203" s="13"/>
      <c r="F203" s="13"/>
      <c r="G203" s="15"/>
      <c r="H203" s="15"/>
      <c r="I203" s="16">
        <f>IF(C203="",0,IF(OR(A203="",A203="DNS"),0,IF(A203="DNF",1,IF(ISNUMBER(A203),IF($I$105="J",IF(A203&lt;=11,VLOOKUP(A203,Punten!$A$2:$C$31,3,FALSE()),1),IF(A203&lt;=30,VLOOKUP(A203,Punten!$A$2:$C$31,2,FALSE()),1)),0))))</f>
        <v>0</v>
      </c>
    </row>
    <row r="204" spans="1:9" x14ac:dyDescent="0.25">
      <c r="A204" s="12"/>
      <c r="B204" s="13"/>
      <c r="C204" s="17"/>
      <c r="D204" s="13"/>
      <c r="E204" s="13"/>
      <c r="F204" s="13"/>
      <c r="G204" s="15"/>
      <c r="H204" s="15"/>
      <c r="I204" s="16">
        <f>IF(C204="",0,IF(OR(A204="",A204="DNS"),0,IF(A204="DNF",1,IF(ISNUMBER(A204),IF($I$105="J",IF(A204&lt;=11,VLOOKUP(A204,Punten!$A$2:$C$31,3,FALSE()),1),IF(A204&lt;=30,VLOOKUP(A204,Punten!$A$2:$C$31,2,FALSE()),1)),0))))</f>
        <v>0</v>
      </c>
    </row>
    <row r="205" spans="1:9" x14ac:dyDescent="0.25">
      <c r="A205" s="12"/>
      <c r="B205" s="13"/>
      <c r="C205" s="17"/>
      <c r="D205" s="13"/>
      <c r="E205" s="13"/>
      <c r="F205" s="13"/>
      <c r="G205" s="15"/>
      <c r="H205" s="15"/>
      <c r="I205" s="16">
        <f>IF(C205="",0,IF(OR(A205="",A205="DNS"),0,IF(A205="DNF",1,IF(ISNUMBER(A205),IF($I$105="J",IF(A205&lt;=11,VLOOKUP(A205,Punten!$A$2:$C$31,3,FALSE()),1),IF(A205&lt;=30,VLOOKUP(A205,Punten!$A$2:$C$31,2,FALSE()),1)),0))))</f>
        <v>0</v>
      </c>
    </row>
    <row r="206" spans="1:9" x14ac:dyDescent="0.25">
      <c r="A206" s="12"/>
      <c r="B206" s="13"/>
      <c r="C206" s="17"/>
      <c r="D206" s="13"/>
      <c r="E206" s="13"/>
      <c r="F206" s="13"/>
      <c r="G206" s="15"/>
      <c r="H206" s="15"/>
      <c r="I206" s="16">
        <f>IF(C206="",0,IF(OR(A206="",A206="DNS"),0,IF(A206="DNF",1,IF(ISNUMBER(A206),IF($I$105="J",IF(A206&lt;=11,VLOOKUP(A206,Punten!$A$2:$C$31,3,FALSE()),1),IF(A206&lt;=30,VLOOKUP(A206,Punten!$A$2:$C$31,2,FALSE()),1)),0))))</f>
        <v>0</v>
      </c>
    </row>
    <row r="208" spans="1:9" ht="16.5" customHeight="1" x14ac:dyDescent="0.25">
      <c r="A208" s="7" t="s">
        <v>130</v>
      </c>
      <c r="B208" s="8"/>
      <c r="C208" s="8"/>
      <c r="D208" s="8"/>
      <c r="E208" s="8"/>
      <c r="F208" s="8"/>
      <c r="G208" s="8"/>
      <c r="H208" s="9" t="s">
        <v>23</v>
      </c>
      <c r="I208" s="10" t="s">
        <v>24</v>
      </c>
    </row>
    <row r="209" spans="1:9" x14ac:dyDescent="0.25">
      <c r="A209" s="11" t="s">
        <v>25</v>
      </c>
      <c r="B209" s="11" t="s">
        <v>26</v>
      </c>
      <c r="C209" s="11" t="s">
        <v>27</v>
      </c>
      <c r="D209" s="11" t="s">
        <v>98</v>
      </c>
      <c r="E209" s="11" t="s">
        <v>28</v>
      </c>
      <c r="F209" s="11" t="s">
        <v>29</v>
      </c>
      <c r="G209" s="11" t="s">
        <v>30</v>
      </c>
      <c r="H209" s="11" t="s">
        <v>31</v>
      </c>
      <c r="I209" s="11" t="s">
        <v>32</v>
      </c>
    </row>
    <row r="210" spans="1:9" x14ac:dyDescent="0.25">
      <c r="A210" s="12"/>
      <c r="B210" s="13"/>
      <c r="C210" s="17"/>
      <c r="D210" s="13"/>
      <c r="E210" s="13"/>
      <c r="F210" s="13"/>
      <c r="G210" s="15"/>
      <c r="H210" s="15"/>
      <c r="I210" s="16">
        <f>IF(C210="",0,IF(OR(A210="",A210="DNS"),0,IF(A210="DNF",1,IF(ISNUMBER(A210),IF($I$208="J",IF(A210&lt;=11,VLOOKUP(A210,Punten!$A$2:$C$31,3,FALSE()),1),IF(A210&lt;=30,VLOOKUP(A210,Punten!$A$2:$C$31,2,FALSE()),1)),0))))</f>
        <v>0</v>
      </c>
    </row>
    <row r="211" spans="1:9" x14ac:dyDescent="0.25">
      <c r="A211" s="12"/>
      <c r="B211" s="13"/>
      <c r="C211" s="17"/>
      <c r="D211" s="13"/>
      <c r="E211" s="13"/>
      <c r="F211" s="13"/>
      <c r="G211" s="15"/>
      <c r="H211" s="15"/>
      <c r="I211" s="16">
        <f>IF(C211="",0,IF(OR(A211="",A211="DNS"),0,IF(A211="DNF",1,IF(ISNUMBER(A211),IF($I$208="J",IF(A211&lt;=11,VLOOKUP(A211,Punten!$A$2:$C$31,3,FALSE()),1),IF(A211&lt;=30,VLOOKUP(A211,Punten!$A$2:$C$31,2,FALSE()),1)),0))))</f>
        <v>0</v>
      </c>
    </row>
    <row r="212" spans="1:9" x14ac:dyDescent="0.25">
      <c r="A212" s="12"/>
      <c r="B212" s="13"/>
      <c r="C212" s="17"/>
      <c r="D212" s="13"/>
      <c r="E212" s="13"/>
      <c r="F212" s="13"/>
      <c r="G212" s="15"/>
      <c r="H212" s="15"/>
      <c r="I212" s="16">
        <f>IF(C212="",0,IF(OR(A212="",A212="DNS"),0,IF(A212="DNF",1,IF(ISNUMBER(A212),IF($I$208="J",IF(A212&lt;=11,VLOOKUP(A212,Punten!$A$2:$C$31,3,FALSE()),1),IF(A212&lt;=30,VLOOKUP(A212,Punten!$A$2:$C$31,2,FALSE()),1)),0))))</f>
        <v>0</v>
      </c>
    </row>
    <row r="213" spans="1:9" x14ac:dyDescent="0.25">
      <c r="A213" s="12"/>
      <c r="B213" s="13"/>
      <c r="C213" s="17"/>
      <c r="D213" s="13"/>
      <c r="E213" s="13"/>
      <c r="F213" s="13"/>
      <c r="G213" s="15"/>
      <c r="H213" s="15"/>
      <c r="I213" s="16">
        <f>IF(C213="",0,IF(OR(A213="",A213="DNS"),0,IF(A213="DNF",1,IF(ISNUMBER(A213),IF($I$208="J",IF(A213&lt;=11,VLOOKUP(A213,Punten!$A$2:$C$31,3,FALSE()),1),IF(A213&lt;=30,VLOOKUP(A213,Punten!$A$2:$C$31,2,FALSE()),1)),0))))</f>
        <v>0</v>
      </c>
    </row>
    <row r="214" spans="1:9" x14ac:dyDescent="0.25">
      <c r="A214" s="12"/>
      <c r="B214" s="13"/>
      <c r="C214" s="17"/>
      <c r="D214" s="13"/>
      <c r="E214" s="13"/>
      <c r="F214" s="13"/>
      <c r="G214" s="15"/>
      <c r="H214" s="15"/>
      <c r="I214" s="16">
        <f>IF(C214="",0,IF(OR(A214="",A214="DNS"),0,IF(A214="DNF",1,IF(ISNUMBER(A214),IF($I$208="J",IF(A214&lt;=11,VLOOKUP(A214,Punten!$A$2:$C$31,3,FALSE()),1),IF(A214&lt;=30,VLOOKUP(A214,Punten!$A$2:$C$31,2,FALSE()),1)),0))))</f>
        <v>0</v>
      </c>
    </row>
    <row r="215" spans="1:9" x14ac:dyDescent="0.25">
      <c r="A215" s="12"/>
      <c r="B215" s="13"/>
      <c r="C215" s="17"/>
      <c r="D215" s="13"/>
      <c r="E215" s="13"/>
      <c r="F215" s="13"/>
      <c r="G215" s="15"/>
      <c r="H215" s="15"/>
      <c r="I215" s="16">
        <f>IF(C215="",0,IF(OR(A215="",A215="DNS"),0,IF(A215="DNF",1,IF(ISNUMBER(A215),IF($I$208="J",IF(A215&lt;=11,VLOOKUP(A215,Punten!$A$2:$C$31,3,FALSE()),1),IF(A215&lt;=30,VLOOKUP(A215,Punten!$A$2:$C$31,2,FALSE()),1)),0))))</f>
        <v>0</v>
      </c>
    </row>
    <row r="216" spans="1:9" x14ac:dyDescent="0.25">
      <c r="A216" s="12"/>
      <c r="B216" s="13"/>
      <c r="C216" s="17"/>
      <c r="D216" s="13"/>
      <c r="E216" s="13"/>
      <c r="F216" s="13"/>
      <c r="G216" s="15"/>
      <c r="H216" s="15"/>
      <c r="I216" s="16">
        <f>IF(C216="",0,IF(OR(A216="",A216="DNS"),0,IF(A216="DNF",1,IF(ISNUMBER(A216),IF($I$208="J",IF(A216&lt;=11,VLOOKUP(A216,Punten!$A$2:$C$31,3,FALSE()),1),IF(A216&lt;=30,VLOOKUP(A216,Punten!$A$2:$C$31,2,FALSE()),1)),0))))</f>
        <v>0</v>
      </c>
    </row>
    <row r="217" spans="1:9" x14ac:dyDescent="0.25">
      <c r="A217" s="12"/>
      <c r="B217" s="13"/>
      <c r="C217" s="17"/>
      <c r="D217" s="13"/>
      <c r="E217" s="13"/>
      <c r="F217" s="13"/>
      <c r="G217" s="15"/>
      <c r="H217" s="15"/>
      <c r="I217" s="16">
        <f>IF(C217="",0,IF(OR(A217="",A217="DNS"),0,IF(A217="DNF",1,IF(ISNUMBER(A217),IF($I$208="J",IF(A217&lt;=11,VLOOKUP(A217,Punten!$A$2:$C$31,3,FALSE()),1),IF(A217&lt;=30,VLOOKUP(A217,Punten!$A$2:$C$31,2,FALSE()),1)),0))))</f>
        <v>0</v>
      </c>
    </row>
    <row r="218" spans="1:9" x14ac:dyDescent="0.25">
      <c r="A218" s="12"/>
      <c r="B218" s="13"/>
      <c r="C218" s="17"/>
      <c r="D218" s="13"/>
      <c r="E218" s="13"/>
      <c r="F218" s="13"/>
      <c r="G218" s="15"/>
      <c r="H218" s="15"/>
      <c r="I218" s="16">
        <f>IF(C218="",0,IF(OR(A218="",A218="DNS"),0,IF(A218="DNF",1,IF(ISNUMBER(A218),IF($I$208="J",IF(A218&lt;=11,VLOOKUP(A218,Punten!$A$2:$C$31,3,FALSE()),1),IF(A218&lt;=30,VLOOKUP(A218,Punten!$A$2:$C$31,2,FALSE()),1)),0))))</f>
        <v>0</v>
      </c>
    </row>
    <row r="219" spans="1:9" x14ac:dyDescent="0.25">
      <c r="A219" s="12"/>
      <c r="B219" s="13"/>
      <c r="C219" s="17"/>
      <c r="D219" s="13"/>
      <c r="E219" s="13"/>
      <c r="F219" s="13"/>
      <c r="G219" s="15"/>
      <c r="H219" s="15"/>
      <c r="I219" s="16">
        <f>IF(C219="",0,IF(OR(A219="",A219="DNS"),0,IF(A219="DNF",1,IF(ISNUMBER(A219),IF($I$208="J",IF(A219&lt;=11,VLOOKUP(A219,Punten!$A$2:$C$31,3,FALSE()),1),IF(A219&lt;=30,VLOOKUP(A219,Punten!$A$2:$C$31,2,FALSE()),1)),0))))</f>
        <v>0</v>
      </c>
    </row>
    <row r="220" spans="1:9" x14ac:dyDescent="0.25">
      <c r="A220" s="12"/>
      <c r="B220" s="13"/>
      <c r="C220" s="17"/>
      <c r="D220" s="13"/>
      <c r="E220" s="13"/>
      <c r="F220" s="13"/>
      <c r="G220" s="15"/>
      <c r="H220" s="15"/>
      <c r="I220" s="16">
        <f>IF(C220="",0,IF(OR(A220="",A220="DNS"),0,IF(A220="DNF",1,IF(ISNUMBER(A220),IF($I$208="J",IF(A220&lt;=11,VLOOKUP(A220,Punten!$A$2:$C$31,3,FALSE()),1),IF(A220&lt;=30,VLOOKUP(A220,Punten!$A$2:$C$31,2,FALSE()),1)),0))))</f>
        <v>0</v>
      </c>
    </row>
    <row r="221" spans="1:9" x14ac:dyDescent="0.25">
      <c r="A221" s="12"/>
      <c r="B221" s="13"/>
      <c r="C221" s="17"/>
      <c r="D221" s="13"/>
      <c r="E221" s="13"/>
      <c r="F221" s="13"/>
      <c r="G221" s="15"/>
      <c r="H221" s="15"/>
      <c r="I221" s="16">
        <f>IF(C221="",0,IF(OR(A221="",A221="DNS"),0,IF(A221="DNF",1,IF(ISNUMBER(A221),IF($I$208="J",IF(A221&lt;=11,VLOOKUP(A221,Punten!$A$2:$C$31,3,FALSE()),1),IF(A221&lt;=30,VLOOKUP(A221,Punten!$A$2:$C$31,2,FALSE()),1)),0))))</f>
        <v>0</v>
      </c>
    </row>
    <row r="222" spans="1:9" x14ac:dyDescent="0.25">
      <c r="A222" s="12"/>
      <c r="B222" s="13"/>
      <c r="C222" s="17"/>
      <c r="D222" s="13"/>
      <c r="E222" s="13"/>
      <c r="F222" s="13"/>
      <c r="G222" s="15"/>
      <c r="H222" s="15"/>
      <c r="I222" s="16">
        <f>IF(C222="",0,IF(OR(A222="",A222="DNS"),0,IF(A222="DNF",1,IF(ISNUMBER(A222),IF($I$208="J",IF(A222&lt;=11,VLOOKUP(A222,Punten!$A$2:$C$31,3,FALSE()),1),IF(A222&lt;=30,VLOOKUP(A222,Punten!$A$2:$C$31,2,FALSE()),1)),0))))</f>
        <v>0</v>
      </c>
    </row>
    <row r="223" spans="1:9" x14ac:dyDescent="0.25">
      <c r="A223" s="12"/>
      <c r="B223" s="13"/>
      <c r="C223" s="17"/>
      <c r="D223" s="13"/>
      <c r="E223" s="13"/>
      <c r="F223" s="13"/>
      <c r="G223" s="15"/>
      <c r="H223" s="15"/>
      <c r="I223" s="16">
        <f>IF(C223="",0,IF(OR(A223="",A223="DNS"),0,IF(A223="DNF",1,IF(ISNUMBER(A223),IF($I$208="J",IF(A223&lt;=11,VLOOKUP(A223,Punten!$A$2:$C$31,3,FALSE()),1),IF(A223&lt;=30,VLOOKUP(A223,Punten!$A$2:$C$31,2,FALSE()),1)),0))))</f>
        <v>0</v>
      </c>
    </row>
    <row r="224" spans="1:9" x14ac:dyDescent="0.25">
      <c r="A224" s="12"/>
      <c r="B224" s="13"/>
      <c r="C224" s="17"/>
      <c r="D224" s="13"/>
      <c r="E224" s="13"/>
      <c r="F224" s="13"/>
      <c r="G224" s="15"/>
      <c r="H224" s="15"/>
      <c r="I224" s="16">
        <f>IF(C224="",0,IF(OR(A224="",A224="DNS"),0,IF(A224="DNF",1,IF(ISNUMBER(A224),IF($I$208="J",IF(A224&lt;=11,VLOOKUP(A224,Punten!$A$2:$C$31,3,FALSE()),1),IF(A224&lt;=30,VLOOKUP(A224,Punten!$A$2:$C$31,2,FALSE()),1)),0))))</f>
        <v>0</v>
      </c>
    </row>
    <row r="225" spans="1:9" x14ac:dyDescent="0.25">
      <c r="A225" s="12"/>
      <c r="B225" s="13"/>
      <c r="C225" s="17"/>
      <c r="D225" s="13"/>
      <c r="E225" s="13"/>
      <c r="F225" s="13"/>
      <c r="G225" s="15"/>
      <c r="H225" s="15"/>
      <c r="I225" s="16">
        <f>IF(C225="",0,IF(OR(A225="",A225="DNS"),0,IF(A225="DNF",1,IF(ISNUMBER(A225),IF($I$208="J",IF(A225&lt;=11,VLOOKUP(A225,Punten!$A$2:$C$31,3,FALSE()),1),IF(A225&lt;=30,VLOOKUP(A225,Punten!$A$2:$C$31,2,FALSE()),1)),0))))</f>
        <v>0</v>
      </c>
    </row>
    <row r="226" spans="1:9" x14ac:dyDescent="0.25">
      <c r="A226" s="12"/>
      <c r="B226" s="13"/>
      <c r="C226" s="17"/>
      <c r="D226" s="13"/>
      <c r="E226" s="13"/>
      <c r="F226" s="13"/>
      <c r="G226" s="15"/>
      <c r="H226" s="15"/>
      <c r="I226" s="16">
        <f>IF(C226="",0,IF(OR(A226="",A226="DNS"),0,IF(A226="DNF",1,IF(ISNUMBER(A226),IF($I$208="J",IF(A226&lt;=11,VLOOKUP(A226,Punten!$A$2:$C$31,3,FALSE()),1),IF(A226&lt;=30,VLOOKUP(A226,Punten!$A$2:$C$31,2,FALSE()),1)),0))))</f>
        <v>0</v>
      </c>
    </row>
    <row r="227" spans="1:9" x14ac:dyDescent="0.25">
      <c r="A227" s="12"/>
      <c r="B227" s="13"/>
      <c r="C227" s="17"/>
      <c r="D227" s="13"/>
      <c r="E227" s="13"/>
      <c r="F227" s="13"/>
      <c r="G227" s="15"/>
      <c r="H227" s="15"/>
      <c r="I227" s="16">
        <f>IF(C227="",0,IF(OR(A227="",A227="DNS"),0,IF(A227="DNF",1,IF(ISNUMBER(A227),IF($I$208="J",IF(A227&lt;=11,VLOOKUP(A227,Punten!$A$2:$C$31,3,FALSE()),1),IF(A227&lt;=30,VLOOKUP(A227,Punten!$A$2:$C$31,2,FALSE()),1)),0))))</f>
        <v>0</v>
      </c>
    </row>
    <row r="228" spans="1:9" x14ac:dyDescent="0.25">
      <c r="A228" s="12"/>
      <c r="B228" s="13"/>
      <c r="C228" s="17"/>
      <c r="D228" s="13"/>
      <c r="E228" s="13"/>
      <c r="F228" s="13"/>
      <c r="G228" s="15"/>
      <c r="H228" s="15"/>
      <c r="I228" s="16">
        <f>IF(C228="",0,IF(OR(A228="",A228="DNS"),0,IF(A228="DNF",1,IF(ISNUMBER(A228),IF($I$208="J",IF(A228&lt;=11,VLOOKUP(A228,Punten!$A$2:$C$31,3,FALSE()),1),IF(A228&lt;=30,VLOOKUP(A228,Punten!$A$2:$C$31,2,FALSE()),1)),0))))</f>
        <v>0</v>
      </c>
    </row>
    <row r="229" spans="1:9" x14ac:dyDescent="0.25">
      <c r="A229" s="12"/>
      <c r="B229" s="13"/>
      <c r="C229" s="17"/>
      <c r="D229" s="13"/>
      <c r="E229" s="13"/>
      <c r="F229" s="13"/>
      <c r="G229" s="15"/>
      <c r="H229" s="15"/>
      <c r="I229" s="16">
        <f>IF(C229="",0,IF(OR(A229="",A229="DNS"),0,IF(A229="DNF",1,IF(ISNUMBER(A229),IF($I$208="J",IF(A229&lt;=11,VLOOKUP(A229,Punten!$A$2:$C$31,3,FALSE()),1),IF(A229&lt;=30,VLOOKUP(A229,Punten!$A$2:$C$31,2,FALSE()),1)),0))))</f>
        <v>0</v>
      </c>
    </row>
    <row r="230" spans="1:9" x14ac:dyDescent="0.25">
      <c r="A230" s="12"/>
      <c r="B230" s="13"/>
      <c r="C230" s="17"/>
      <c r="D230" s="13"/>
      <c r="E230" s="13"/>
      <c r="F230" s="13"/>
      <c r="G230" s="15"/>
      <c r="H230" s="15"/>
      <c r="I230" s="16">
        <f>IF(C230="",0,IF(OR(A230="",A230="DNS"),0,IF(A230="DNF",1,IF(ISNUMBER(A230),IF($I$208="J",IF(A230&lt;=11,VLOOKUP(A230,Punten!$A$2:$C$31,3,FALSE()),1),IF(A230&lt;=30,VLOOKUP(A230,Punten!$A$2:$C$31,2,FALSE()),1)),0))))</f>
        <v>0</v>
      </c>
    </row>
    <row r="231" spans="1:9" x14ac:dyDescent="0.25">
      <c r="A231" s="12"/>
      <c r="B231" s="13"/>
      <c r="C231" s="17"/>
      <c r="D231" s="13"/>
      <c r="E231" s="13"/>
      <c r="F231" s="13"/>
      <c r="G231" s="15"/>
      <c r="H231" s="15"/>
      <c r="I231" s="16">
        <f>IF(C231="",0,IF(OR(A231="",A231="DNS"),0,IF(A231="DNF",1,IF(ISNUMBER(A231),IF($I$208="J",IF(A231&lt;=11,VLOOKUP(A231,Punten!$A$2:$C$31,3,FALSE()),1),IF(A231&lt;=30,VLOOKUP(A231,Punten!$A$2:$C$31,2,FALSE()),1)),0))))</f>
        <v>0</v>
      </c>
    </row>
    <row r="232" spans="1:9" x14ac:dyDescent="0.25">
      <c r="A232" s="12"/>
      <c r="B232" s="13"/>
      <c r="C232" s="17"/>
      <c r="D232" s="13"/>
      <c r="E232" s="13"/>
      <c r="F232" s="13"/>
      <c r="G232" s="15"/>
      <c r="H232" s="15"/>
      <c r="I232" s="16">
        <f>IF(C232="",0,IF(OR(A232="",A232="DNS"),0,IF(A232="DNF",1,IF(ISNUMBER(A232),IF($I$208="J",IF(A232&lt;=11,VLOOKUP(A232,Punten!$A$2:$C$31,3,FALSE()),1),IF(A232&lt;=30,VLOOKUP(A232,Punten!$A$2:$C$31,2,FALSE()),1)),0))))</f>
        <v>0</v>
      </c>
    </row>
    <row r="233" spans="1:9" x14ac:dyDescent="0.25">
      <c r="A233" s="12"/>
      <c r="B233" s="13"/>
      <c r="C233" s="17"/>
      <c r="D233" s="13"/>
      <c r="E233" s="13"/>
      <c r="F233" s="13"/>
      <c r="G233" s="15"/>
      <c r="H233" s="15"/>
      <c r="I233" s="16">
        <f>IF(C233="",0,IF(OR(A233="",A233="DNS"),0,IF(A233="DNF",1,IF(ISNUMBER(A233),IF($I$208="J",IF(A233&lt;=11,VLOOKUP(A233,Punten!$A$2:$C$31,3,FALSE()),1),IF(A233&lt;=30,VLOOKUP(A233,Punten!$A$2:$C$31,2,FALSE()),1)),0))))</f>
        <v>0</v>
      </c>
    </row>
    <row r="234" spans="1:9" x14ac:dyDescent="0.25">
      <c r="A234" s="12"/>
      <c r="B234" s="13"/>
      <c r="C234" s="17"/>
      <c r="D234" s="13"/>
      <c r="E234" s="13"/>
      <c r="F234" s="13"/>
      <c r="G234" s="15"/>
      <c r="H234" s="15"/>
      <c r="I234" s="16">
        <f>IF(C234="",0,IF(OR(A234="",A234="DNS"),0,IF(A234="DNF",1,IF(ISNUMBER(A234),IF($I$208="J",IF(A234&lt;=11,VLOOKUP(A234,Punten!$A$2:$C$31,3,FALSE()),1),IF(A234&lt;=30,VLOOKUP(A234,Punten!$A$2:$C$31,2,FALSE()),1)),0))))</f>
        <v>0</v>
      </c>
    </row>
    <row r="235" spans="1:9" x14ac:dyDescent="0.25">
      <c r="A235" s="12"/>
      <c r="B235" s="13"/>
      <c r="C235" s="17"/>
      <c r="D235" s="13"/>
      <c r="E235" s="13"/>
      <c r="F235" s="13"/>
      <c r="G235" s="15"/>
      <c r="H235" s="15"/>
      <c r="I235" s="16">
        <f>IF(C235="",0,IF(OR(A235="",A235="DNS"),0,IF(A235="DNF",1,IF(ISNUMBER(A235),IF($I$208="J",IF(A235&lt;=11,VLOOKUP(A235,Punten!$A$2:$C$31,3,FALSE()),1),IF(A235&lt;=30,VLOOKUP(A235,Punten!$A$2:$C$31,2,FALSE()),1)),0))))</f>
        <v>0</v>
      </c>
    </row>
    <row r="236" spans="1:9" x14ac:dyDescent="0.25">
      <c r="A236" s="12"/>
      <c r="B236" s="13"/>
      <c r="C236" s="17"/>
      <c r="D236" s="13"/>
      <c r="E236" s="13"/>
      <c r="F236" s="13"/>
      <c r="G236" s="15"/>
      <c r="H236" s="15"/>
      <c r="I236" s="16">
        <f>IF(C236="",0,IF(OR(A236="",A236="DNS"),0,IF(A236="DNF",1,IF(ISNUMBER(A236),IF($I$208="J",IF(A236&lt;=11,VLOOKUP(A236,Punten!$A$2:$C$31,3,FALSE()),1),IF(A236&lt;=30,VLOOKUP(A236,Punten!$A$2:$C$31,2,FALSE()),1)),0))))</f>
        <v>0</v>
      </c>
    </row>
    <row r="237" spans="1:9" x14ac:dyDescent="0.25">
      <c r="A237" s="12"/>
      <c r="B237" s="13"/>
      <c r="C237" s="17"/>
      <c r="D237" s="13"/>
      <c r="E237" s="13"/>
      <c r="F237" s="13"/>
      <c r="G237" s="15"/>
      <c r="H237" s="15"/>
      <c r="I237" s="16">
        <f>IF(C237="",0,IF(OR(A237="",A237="DNS"),0,IF(A237="DNF",1,IF(ISNUMBER(A237),IF($I$208="J",IF(A237&lt;=11,VLOOKUP(A237,Punten!$A$2:$C$31,3,FALSE()),1),IF(A237&lt;=30,VLOOKUP(A237,Punten!$A$2:$C$31,2,FALSE()),1)),0))))</f>
        <v>0</v>
      </c>
    </row>
    <row r="238" spans="1:9" x14ac:dyDescent="0.25">
      <c r="A238" s="12"/>
      <c r="B238" s="13"/>
      <c r="C238" s="17"/>
      <c r="D238" s="13"/>
      <c r="E238" s="13"/>
      <c r="F238" s="13"/>
      <c r="G238" s="15"/>
      <c r="H238" s="15"/>
      <c r="I238" s="16">
        <f>IF(C238="",0,IF(OR(A238="",A238="DNS"),0,IF(A238="DNF",1,IF(ISNUMBER(A238),IF($I$208="J",IF(A238&lt;=11,VLOOKUP(A238,Punten!$A$2:$C$31,3,FALSE()),1),IF(A238&lt;=30,VLOOKUP(A238,Punten!$A$2:$C$31,2,FALSE()),1)),0))))</f>
        <v>0</v>
      </c>
    </row>
    <row r="239" spans="1:9" x14ac:dyDescent="0.25">
      <c r="A239" s="12"/>
      <c r="B239" s="13"/>
      <c r="C239" s="17"/>
      <c r="D239" s="13"/>
      <c r="E239" s="13"/>
      <c r="F239" s="13"/>
      <c r="G239" s="15"/>
      <c r="H239" s="15"/>
      <c r="I239" s="16">
        <f>IF(C239="",0,IF(OR(A239="",A239="DNS"),0,IF(A239="DNF",1,IF(ISNUMBER(A239),IF($I$208="J",IF(A239&lt;=11,VLOOKUP(A239,Punten!$A$2:$C$31,3,FALSE()),1),IF(A239&lt;=30,VLOOKUP(A239,Punten!$A$2:$C$31,2,FALSE()),1)),0))))</f>
        <v>0</v>
      </c>
    </row>
    <row r="240" spans="1:9" x14ac:dyDescent="0.25">
      <c r="A240" s="12"/>
      <c r="B240" s="13"/>
      <c r="C240" s="17"/>
      <c r="D240" s="13"/>
      <c r="E240" s="13"/>
      <c r="F240" s="13"/>
      <c r="G240" s="15"/>
      <c r="H240" s="15"/>
      <c r="I240" s="16">
        <f>IF(C240="",0,IF(OR(A240="",A240="DNS"),0,IF(A240="DNF",1,IF(ISNUMBER(A240),IF($I$208="J",IF(A240&lt;=11,VLOOKUP(A240,Punten!$A$2:$C$31,3,FALSE()),1),IF(A240&lt;=30,VLOOKUP(A240,Punten!$A$2:$C$31,2,FALSE()),1)),0))))</f>
        <v>0</v>
      </c>
    </row>
    <row r="241" spans="1:9" x14ac:dyDescent="0.25">
      <c r="A241" s="12"/>
      <c r="B241" s="13"/>
      <c r="C241" s="17"/>
      <c r="D241" s="13"/>
      <c r="E241" s="13"/>
      <c r="F241" s="13"/>
      <c r="G241" s="15"/>
      <c r="H241" s="15"/>
      <c r="I241" s="16">
        <f>IF(C241="",0,IF(OR(A241="",A241="DNS"),0,IF(A241="DNF",1,IF(ISNUMBER(A241),IF($I$208="J",IF(A241&lt;=11,VLOOKUP(A241,Punten!$A$2:$C$31,3,FALSE()),1),IF(A241&lt;=30,VLOOKUP(A241,Punten!$A$2:$C$31,2,FALSE()),1)),0))))</f>
        <v>0</v>
      </c>
    </row>
    <row r="242" spans="1:9" x14ac:dyDescent="0.25">
      <c r="A242" s="12"/>
      <c r="B242" s="13"/>
      <c r="C242" s="17"/>
      <c r="D242" s="13"/>
      <c r="E242" s="13"/>
      <c r="F242" s="13"/>
      <c r="G242" s="15"/>
      <c r="H242" s="15"/>
      <c r="I242" s="16">
        <f>IF(C242="",0,IF(OR(A242="",A242="DNS"),0,IF(A242="DNF",1,IF(ISNUMBER(A242),IF($I$208="J",IF(A242&lt;=11,VLOOKUP(A242,Punten!$A$2:$C$31,3,FALSE()),1),IF(A242&lt;=30,VLOOKUP(A242,Punten!$A$2:$C$31,2,FALSE()),1)),0))))</f>
        <v>0</v>
      </c>
    </row>
    <row r="243" spans="1:9" x14ac:dyDescent="0.25">
      <c r="A243" s="12"/>
      <c r="B243" s="13"/>
      <c r="C243" s="17"/>
      <c r="D243" s="13"/>
      <c r="E243" s="13"/>
      <c r="F243" s="13"/>
      <c r="G243" s="15"/>
      <c r="H243" s="15"/>
      <c r="I243" s="16">
        <f>IF(C243="",0,IF(OR(A243="",A243="DNS"),0,IF(A243="DNF",1,IF(ISNUMBER(A243),IF($I$208="J",IF(A243&lt;=11,VLOOKUP(A243,Punten!$A$2:$C$31,3,FALSE()),1),IF(A243&lt;=30,VLOOKUP(A243,Punten!$A$2:$C$31,2,FALSE()),1)),0))))</f>
        <v>0</v>
      </c>
    </row>
    <row r="244" spans="1:9" x14ac:dyDescent="0.25">
      <c r="A244" s="12"/>
      <c r="B244" s="13"/>
      <c r="C244" s="17"/>
      <c r="D244" s="13"/>
      <c r="E244" s="13"/>
      <c r="F244" s="13"/>
      <c r="G244" s="15"/>
      <c r="H244" s="15"/>
      <c r="I244" s="16">
        <f>IF(C244="",0,IF(OR(A244="",A244="DNS"),0,IF(A244="DNF",1,IF(ISNUMBER(A244),IF($I$208="J",IF(A244&lt;=11,VLOOKUP(A244,Punten!$A$2:$C$31,3,FALSE()),1),IF(A244&lt;=30,VLOOKUP(A244,Punten!$A$2:$C$31,2,FALSE()),1)),0))))</f>
        <v>0</v>
      </c>
    </row>
    <row r="245" spans="1:9" x14ac:dyDescent="0.25">
      <c r="A245" s="12"/>
      <c r="B245" s="13"/>
      <c r="C245" s="17"/>
      <c r="D245" s="13"/>
      <c r="E245" s="13"/>
      <c r="F245" s="13"/>
      <c r="G245" s="15"/>
      <c r="H245" s="15"/>
      <c r="I245" s="16">
        <f>IF(C245="",0,IF(OR(A245="",A245="DNS"),0,IF(A245="DNF",1,IF(ISNUMBER(A245),IF($I$208="J",IF(A245&lt;=11,VLOOKUP(A245,Punten!$A$2:$C$31,3,FALSE()),1),IF(A245&lt;=30,VLOOKUP(A245,Punten!$A$2:$C$31,2,FALSE()),1)),0))))</f>
        <v>0</v>
      </c>
    </row>
    <row r="246" spans="1:9" x14ac:dyDescent="0.25">
      <c r="A246" s="12"/>
      <c r="B246" s="13"/>
      <c r="C246" s="17"/>
      <c r="D246" s="13"/>
      <c r="E246" s="13"/>
      <c r="F246" s="13"/>
      <c r="G246" s="15"/>
      <c r="H246" s="15"/>
      <c r="I246" s="16">
        <f>IF(C246="",0,IF(OR(A246="",A246="DNS"),0,IF(A246="DNF",1,IF(ISNUMBER(A246),IF($I$208="J",IF(A246&lt;=11,VLOOKUP(A246,Punten!$A$2:$C$31,3,FALSE()),1),IF(A246&lt;=30,VLOOKUP(A246,Punten!$A$2:$C$31,2,FALSE()),1)),0))))</f>
        <v>0</v>
      </c>
    </row>
    <row r="247" spans="1:9" x14ac:dyDescent="0.25">
      <c r="A247" s="12"/>
      <c r="B247" s="13"/>
      <c r="C247" s="17"/>
      <c r="D247" s="13"/>
      <c r="E247" s="13"/>
      <c r="F247" s="13"/>
      <c r="G247" s="15"/>
      <c r="H247" s="15"/>
      <c r="I247" s="16">
        <f>IF(C247="",0,IF(OR(A247="",A247="DNS"),0,IF(A247="DNF",1,IF(ISNUMBER(A247),IF($I$208="J",IF(A247&lt;=11,VLOOKUP(A247,Punten!$A$2:$C$31,3,FALSE()),1),IF(A247&lt;=30,VLOOKUP(A247,Punten!$A$2:$C$31,2,FALSE()),1)),0))))</f>
        <v>0</v>
      </c>
    </row>
    <row r="248" spans="1:9" x14ac:dyDescent="0.25">
      <c r="A248" s="12"/>
      <c r="B248" s="13"/>
      <c r="C248" s="17"/>
      <c r="D248" s="13"/>
      <c r="E248" s="13"/>
      <c r="F248" s="13"/>
      <c r="G248" s="15"/>
      <c r="H248" s="15"/>
      <c r="I248" s="16">
        <f>IF(C248="",0,IF(OR(A248="",A248="DNS"),0,IF(A248="DNF",1,IF(ISNUMBER(A248),IF($I$208="J",IF(A248&lt;=11,VLOOKUP(A248,Punten!$A$2:$C$31,3,FALSE()),1),IF(A248&lt;=30,VLOOKUP(A248,Punten!$A$2:$C$31,2,FALSE()),1)),0))))</f>
        <v>0</v>
      </c>
    </row>
    <row r="249" spans="1:9" x14ac:dyDescent="0.25">
      <c r="A249" s="12"/>
      <c r="B249" s="13"/>
      <c r="C249" s="17"/>
      <c r="D249" s="13"/>
      <c r="E249" s="13"/>
      <c r="F249" s="13"/>
      <c r="G249" s="15"/>
      <c r="H249" s="15"/>
      <c r="I249" s="16">
        <f>IF(C249="",0,IF(OR(A249="",A249="DNS"),0,IF(A249="DNF",1,IF(ISNUMBER(A249),IF($I$208="J",IF(A249&lt;=11,VLOOKUP(A249,Punten!$A$2:$C$31,3,FALSE()),1),IF(A249&lt;=30,VLOOKUP(A249,Punten!$A$2:$C$31,2,FALSE()),1)),0))))</f>
        <v>0</v>
      </c>
    </row>
    <row r="250" spans="1:9" x14ac:dyDescent="0.25">
      <c r="A250" s="12"/>
      <c r="B250" s="13"/>
      <c r="C250" s="17"/>
      <c r="D250" s="13"/>
      <c r="E250" s="13"/>
      <c r="F250" s="13"/>
      <c r="G250" s="15"/>
      <c r="H250" s="15"/>
      <c r="I250" s="16">
        <f>IF(C250="",0,IF(OR(A250="",A250="DNS"),0,IF(A250="DNF",1,IF(ISNUMBER(A250),IF($I$208="J",IF(A250&lt;=11,VLOOKUP(A250,Punten!$A$2:$C$31,3,FALSE()),1),IF(A250&lt;=30,VLOOKUP(A250,Punten!$A$2:$C$31,2,FALSE()),1)),0))))</f>
        <v>0</v>
      </c>
    </row>
    <row r="251" spans="1:9" x14ac:dyDescent="0.25">
      <c r="A251" s="12"/>
      <c r="B251" s="13"/>
      <c r="C251" s="17"/>
      <c r="D251" s="13"/>
      <c r="E251" s="13"/>
      <c r="F251" s="13"/>
      <c r="G251" s="15"/>
      <c r="H251" s="15"/>
      <c r="I251" s="16">
        <f>IF(C251="",0,IF(OR(A251="",A251="DNS"),0,IF(A251="DNF",1,IF(ISNUMBER(A251),IF($I$208="J",IF(A251&lt;=11,VLOOKUP(A251,Punten!$A$2:$C$31,3,FALSE()),1),IF(A251&lt;=30,VLOOKUP(A251,Punten!$A$2:$C$31,2,FALSE()),1)),0))))</f>
        <v>0</v>
      </c>
    </row>
    <row r="252" spans="1:9" x14ac:dyDescent="0.25">
      <c r="A252" s="12"/>
      <c r="B252" s="13"/>
      <c r="C252" s="17"/>
      <c r="D252" s="13"/>
      <c r="E252" s="13"/>
      <c r="F252" s="13"/>
      <c r="G252" s="15"/>
      <c r="H252" s="15"/>
      <c r="I252" s="16">
        <f>IF(C252="",0,IF(OR(A252="",A252="DNS"),0,IF(A252="DNF",1,IF(ISNUMBER(A252),IF($I$208="J",IF(A252&lt;=11,VLOOKUP(A252,Punten!$A$2:$C$31,3,FALSE()),1),IF(A252&lt;=30,VLOOKUP(A252,Punten!$A$2:$C$31,2,FALSE()),1)),0))))</f>
        <v>0</v>
      </c>
    </row>
    <row r="253" spans="1:9" x14ac:dyDescent="0.25">
      <c r="A253" s="12"/>
      <c r="B253" s="13"/>
      <c r="C253" s="17"/>
      <c r="D253" s="13"/>
      <c r="E253" s="13"/>
      <c r="F253" s="13"/>
      <c r="G253" s="15"/>
      <c r="H253" s="15"/>
      <c r="I253" s="16">
        <f>IF(C253="",0,IF(OR(A253="",A253="DNS"),0,IF(A253="DNF",1,IF(ISNUMBER(A253),IF($I$208="J",IF(A253&lt;=11,VLOOKUP(A253,Punten!$A$2:$C$31,3,FALSE()),1),IF(A253&lt;=30,VLOOKUP(A253,Punten!$A$2:$C$31,2,FALSE()),1)),0))))</f>
        <v>0</v>
      </c>
    </row>
    <row r="254" spans="1:9" x14ac:dyDescent="0.25">
      <c r="A254" s="12"/>
      <c r="B254" s="13"/>
      <c r="C254" s="17"/>
      <c r="D254" s="13"/>
      <c r="E254" s="13"/>
      <c r="F254" s="13"/>
      <c r="G254" s="15"/>
      <c r="H254" s="15"/>
      <c r="I254" s="16">
        <f>IF(C254="",0,IF(OR(A254="",A254="DNS"),0,IF(A254="DNF",1,IF(ISNUMBER(A254),IF($I$208="J",IF(A254&lt;=11,VLOOKUP(A254,Punten!$A$2:$C$31,3,FALSE()),1),IF(A254&lt;=30,VLOOKUP(A254,Punten!$A$2:$C$31,2,FALSE()),1)),0))))</f>
        <v>0</v>
      </c>
    </row>
    <row r="255" spans="1:9" x14ac:dyDescent="0.25">
      <c r="A255" s="12"/>
      <c r="B255" s="13"/>
      <c r="C255" s="17"/>
      <c r="D255" s="13"/>
      <c r="E255" s="13"/>
      <c r="F255" s="13"/>
      <c r="G255" s="15"/>
      <c r="H255" s="15"/>
      <c r="I255" s="16">
        <f>IF(C255="",0,IF(OR(A255="",A255="DNS"),0,IF(A255="DNF",1,IF(ISNUMBER(A255),IF($I$208="J",IF(A255&lt;=11,VLOOKUP(A255,Punten!$A$2:$C$31,3,FALSE()),1),IF(A255&lt;=30,VLOOKUP(A255,Punten!$A$2:$C$31,2,FALSE()),1)),0))))</f>
        <v>0</v>
      </c>
    </row>
    <row r="256" spans="1:9" x14ac:dyDescent="0.25">
      <c r="A256" s="12"/>
      <c r="B256" s="13"/>
      <c r="C256" s="17"/>
      <c r="D256" s="13"/>
      <c r="E256" s="13"/>
      <c r="F256" s="13"/>
      <c r="G256" s="15"/>
      <c r="H256" s="15"/>
      <c r="I256" s="16">
        <f>IF(C256="",0,IF(OR(A256="",A256="DNS"),0,IF(A256="DNF",1,IF(ISNUMBER(A256),IF($I$208="J",IF(A256&lt;=11,VLOOKUP(A256,Punten!$A$2:$C$31,3,FALSE()),1),IF(A256&lt;=30,VLOOKUP(A256,Punten!$A$2:$C$31,2,FALSE()),1)),0))))</f>
        <v>0</v>
      </c>
    </row>
    <row r="257" spans="1:9" x14ac:dyDescent="0.25">
      <c r="A257" s="12"/>
      <c r="B257" s="13"/>
      <c r="C257" s="17"/>
      <c r="D257" s="13"/>
      <c r="E257" s="13"/>
      <c r="F257" s="13"/>
      <c r="G257" s="15"/>
      <c r="H257" s="15"/>
      <c r="I257" s="16">
        <f>IF(C257="",0,IF(OR(A257="",A257="DNS"),0,IF(A257="DNF",1,IF(ISNUMBER(A257),IF($I$208="J",IF(A257&lt;=11,VLOOKUP(A257,Punten!$A$2:$C$31,3,FALSE()),1),IF(A257&lt;=30,VLOOKUP(A257,Punten!$A$2:$C$31,2,FALSE()),1)),0))))</f>
        <v>0</v>
      </c>
    </row>
    <row r="258" spans="1:9" x14ac:dyDescent="0.25">
      <c r="A258" s="12"/>
      <c r="B258" s="13"/>
      <c r="C258" s="17"/>
      <c r="D258" s="13"/>
      <c r="E258" s="13"/>
      <c r="F258" s="13"/>
      <c r="G258" s="15"/>
      <c r="H258" s="15"/>
      <c r="I258" s="16">
        <f>IF(C258="",0,IF(OR(A258="",A258="DNS"),0,IF(A258="DNF",1,IF(ISNUMBER(A258),IF($I$208="J",IF(A258&lt;=11,VLOOKUP(A258,Punten!$A$2:$C$31,3,FALSE()),1),IF(A258&lt;=30,VLOOKUP(A258,Punten!$A$2:$C$31,2,FALSE()),1)),0))))</f>
        <v>0</v>
      </c>
    </row>
    <row r="259" spans="1:9" x14ac:dyDescent="0.25">
      <c r="A259" s="12"/>
      <c r="B259" s="13"/>
      <c r="C259" s="17"/>
      <c r="D259" s="13"/>
      <c r="E259" s="13"/>
      <c r="F259" s="13"/>
      <c r="G259" s="15"/>
      <c r="H259" s="15"/>
      <c r="I259" s="16">
        <f>IF(C259="",0,IF(OR(A259="",A259="DNS"),0,IF(A259="DNF",1,IF(ISNUMBER(A259),IF($I$208="J",IF(A259&lt;=11,VLOOKUP(A259,Punten!$A$2:$C$31,3,FALSE()),1),IF(A259&lt;=30,VLOOKUP(A259,Punten!$A$2:$C$31,2,FALSE()),1)),0))))</f>
        <v>0</v>
      </c>
    </row>
    <row r="260" spans="1:9" x14ac:dyDescent="0.25">
      <c r="A260" s="12"/>
      <c r="B260" s="13"/>
      <c r="C260" s="17"/>
      <c r="D260" s="13"/>
      <c r="E260" s="13"/>
      <c r="F260" s="13"/>
      <c r="G260" s="15"/>
      <c r="H260" s="15"/>
      <c r="I260" s="16">
        <f>IF(C260="",0,IF(OR(A260="",A260="DNS"),0,IF(A260="DNF",1,IF(ISNUMBER(A260),IF($I$208="J",IF(A260&lt;=11,VLOOKUP(A260,Punten!$A$2:$C$31,3,FALSE()),1),IF(A260&lt;=30,VLOOKUP(A260,Punten!$A$2:$C$31,2,FALSE()),1)),0))))</f>
        <v>0</v>
      </c>
    </row>
    <row r="261" spans="1:9" x14ac:dyDescent="0.25">
      <c r="A261" s="12"/>
      <c r="B261" s="13"/>
      <c r="C261" s="17"/>
      <c r="D261" s="13"/>
      <c r="E261" s="13"/>
      <c r="F261" s="13"/>
      <c r="G261" s="15"/>
      <c r="H261" s="15"/>
      <c r="I261" s="16">
        <f>IF(C261="",0,IF(OR(A261="",A261="DNS"),0,IF(A261="DNF",1,IF(ISNUMBER(A261),IF($I$208="J",IF(A261&lt;=11,VLOOKUP(A261,Punten!$A$2:$C$31,3,FALSE()),1),IF(A261&lt;=30,VLOOKUP(A261,Punten!$A$2:$C$31,2,FALSE()),1)),0))))</f>
        <v>0</v>
      </c>
    </row>
    <row r="262" spans="1:9" x14ac:dyDescent="0.25">
      <c r="A262" s="12"/>
      <c r="B262" s="13"/>
      <c r="C262" s="17"/>
      <c r="D262" s="13"/>
      <c r="E262" s="13"/>
      <c r="F262" s="13"/>
      <c r="G262" s="15"/>
      <c r="H262" s="15"/>
      <c r="I262" s="16">
        <f>IF(C262="",0,IF(OR(A262="",A262="DNS"),0,IF(A262="DNF",1,IF(ISNUMBER(A262),IF($I$208="J",IF(A262&lt;=11,VLOOKUP(A262,Punten!$A$2:$C$31,3,FALSE()),1),IF(A262&lt;=30,VLOOKUP(A262,Punten!$A$2:$C$31,2,FALSE()),1)),0))))</f>
        <v>0</v>
      </c>
    </row>
    <row r="263" spans="1:9" x14ac:dyDescent="0.25">
      <c r="A263" s="12"/>
      <c r="B263" s="13"/>
      <c r="C263" s="17"/>
      <c r="D263" s="13"/>
      <c r="E263" s="13"/>
      <c r="F263" s="13"/>
      <c r="G263" s="15"/>
      <c r="H263" s="15"/>
      <c r="I263" s="16">
        <f>IF(C263="",0,IF(OR(A263="",A263="DNS"),0,IF(A263="DNF",1,IF(ISNUMBER(A263),IF($I$208="J",IF(A263&lt;=11,VLOOKUP(A263,Punten!$A$2:$C$31,3,FALSE()),1),IF(A263&lt;=30,VLOOKUP(A263,Punten!$A$2:$C$31,2,FALSE()),1)),0))))</f>
        <v>0</v>
      </c>
    </row>
    <row r="264" spans="1:9" x14ac:dyDescent="0.25">
      <c r="A264" s="12"/>
      <c r="B264" s="13"/>
      <c r="C264" s="17"/>
      <c r="D264" s="13"/>
      <c r="E264" s="13"/>
      <c r="F264" s="13"/>
      <c r="G264" s="15"/>
      <c r="H264" s="15"/>
      <c r="I264" s="16">
        <f>IF(C264="",0,IF(OR(A264="",A264="DNS"),0,IF(A264="DNF",1,IF(ISNUMBER(A264),IF($I$208="J",IF(A264&lt;=11,VLOOKUP(A264,Punten!$A$2:$C$31,3,FALSE()),1),IF(A264&lt;=30,VLOOKUP(A264,Punten!$A$2:$C$31,2,FALSE()),1)),0))))</f>
        <v>0</v>
      </c>
    </row>
    <row r="265" spans="1:9" x14ac:dyDescent="0.25">
      <c r="A265" s="12"/>
      <c r="B265" s="13"/>
      <c r="C265" s="17"/>
      <c r="D265" s="13"/>
      <c r="E265" s="13"/>
      <c r="F265" s="13"/>
      <c r="G265" s="15"/>
      <c r="H265" s="15"/>
      <c r="I265" s="16">
        <f>IF(C265="",0,IF(OR(A265="",A265="DNS"),0,IF(A265="DNF",1,IF(ISNUMBER(A265),IF($I$208="J",IF(A265&lt;=11,VLOOKUP(A265,Punten!$A$2:$C$31,3,FALSE()),1),IF(A265&lt;=30,VLOOKUP(A265,Punten!$A$2:$C$31,2,FALSE()),1)),0))))</f>
        <v>0</v>
      </c>
    </row>
    <row r="266" spans="1:9" x14ac:dyDescent="0.25">
      <c r="A266" s="12"/>
      <c r="B266" s="13"/>
      <c r="C266" s="17"/>
      <c r="D266" s="13"/>
      <c r="E266" s="13"/>
      <c r="F266" s="13"/>
      <c r="G266" s="15"/>
      <c r="H266" s="15"/>
      <c r="I266" s="16">
        <f>IF(C266="",0,IF(OR(A266="",A266="DNS"),0,IF(A266="DNF",1,IF(ISNUMBER(A266),IF($I$208="J",IF(A266&lt;=11,VLOOKUP(A266,Punten!$A$2:$C$31,3,FALSE()),1),IF(A266&lt;=30,VLOOKUP(A266,Punten!$A$2:$C$31,2,FALSE()),1)),0))))</f>
        <v>0</v>
      </c>
    </row>
    <row r="267" spans="1:9" x14ac:dyDescent="0.25">
      <c r="A267" s="12"/>
      <c r="B267" s="13"/>
      <c r="C267" s="17"/>
      <c r="D267" s="13"/>
      <c r="E267" s="13"/>
      <c r="F267" s="13"/>
      <c r="G267" s="15"/>
      <c r="H267" s="15"/>
      <c r="I267" s="16">
        <f>IF(C267="",0,IF(OR(A267="",A267="DNS"),0,IF(A267="DNF",1,IF(ISNUMBER(A267),IF($I$208="J",IF(A267&lt;=11,VLOOKUP(A267,Punten!$A$2:$C$31,3,FALSE()),1),IF(A267&lt;=30,VLOOKUP(A267,Punten!$A$2:$C$31,2,FALSE()),1)),0))))</f>
        <v>0</v>
      </c>
    </row>
    <row r="268" spans="1:9" x14ac:dyDescent="0.25">
      <c r="A268" s="12"/>
      <c r="B268" s="13"/>
      <c r="C268" s="17"/>
      <c r="D268" s="13"/>
      <c r="E268" s="13"/>
      <c r="F268" s="13"/>
      <c r="G268" s="15"/>
      <c r="H268" s="15"/>
      <c r="I268" s="16">
        <f>IF(C268="",0,IF(OR(A268="",A268="DNS"),0,IF(A268="DNF",1,IF(ISNUMBER(A268),IF($I$208="J",IF(A268&lt;=11,VLOOKUP(A268,Punten!$A$2:$C$31,3,FALSE()),1),IF(A268&lt;=30,VLOOKUP(A268,Punten!$A$2:$C$31,2,FALSE()),1)),0))))</f>
        <v>0</v>
      </c>
    </row>
    <row r="269" spans="1:9" x14ac:dyDescent="0.25">
      <c r="A269" s="12"/>
      <c r="B269" s="13"/>
      <c r="C269" s="17"/>
      <c r="D269" s="13"/>
      <c r="E269" s="13"/>
      <c r="F269" s="13"/>
      <c r="G269" s="15"/>
      <c r="H269" s="15"/>
      <c r="I269" s="16">
        <f>IF(C269="",0,IF(OR(A269="",A269="DNS"),0,IF(A269="DNF",1,IF(ISNUMBER(A269),IF($I$208="J",IF(A269&lt;=11,VLOOKUP(A269,Punten!$A$2:$C$31,3,FALSE()),1),IF(A269&lt;=30,VLOOKUP(A269,Punten!$A$2:$C$31,2,FALSE()),1)),0))))</f>
        <v>0</v>
      </c>
    </row>
    <row r="270" spans="1:9" x14ac:dyDescent="0.25">
      <c r="A270" s="12"/>
      <c r="B270" s="13"/>
      <c r="C270" s="17"/>
      <c r="D270" s="13"/>
      <c r="E270" s="13"/>
      <c r="F270" s="13"/>
      <c r="G270" s="15"/>
      <c r="H270" s="15"/>
      <c r="I270" s="16">
        <f>IF(C270="",0,IF(OR(A270="",A270="DNS"),0,IF(A270="DNF",1,IF(ISNUMBER(A270),IF($I$208="J",IF(A270&lt;=11,VLOOKUP(A270,Punten!$A$2:$C$31,3,FALSE()),1),IF(A270&lt;=30,VLOOKUP(A270,Punten!$A$2:$C$31,2,FALSE()),1)),0))))</f>
        <v>0</v>
      </c>
    </row>
    <row r="271" spans="1:9" x14ac:dyDescent="0.25">
      <c r="A271" s="12"/>
      <c r="B271" s="13"/>
      <c r="C271" s="17"/>
      <c r="D271" s="13"/>
      <c r="E271" s="13"/>
      <c r="F271" s="13"/>
      <c r="G271" s="15"/>
      <c r="H271" s="15"/>
      <c r="I271" s="16">
        <f>IF(C271="",0,IF(OR(A271="",A271="DNS"),0,IF(A271="DNF",1,IF(ISNUMBER(A271),IF($I$208="J",IF(A271&lt;=11,VLOOKUP(A271,Punten!$A$2:$C$31,3,FALSE()),1),IF(A271&lt;=30,VLOOKUP(A271,Punten!$A$2:$C$31,2,FALSE()),1)),0))))</f>
        <v>0</v>
      </c>
    </row>
    <row r="272" spans="1:9" x14ac:dyDescent="0.25">
      <c r="A272" s="12"/>
      <c r="B272" s="13"/>
      <c r="C272" s="17"/>
      <c r="D272" s="13"/>
      <c r="E272" s="13"/>
      <c r="F272" s="13"/>
      <c r="G272" s="15"/>
      <c r="H272" s="15"/>
      <c r="I272" s="16">
        <f>IF(C272="",0,IF(OR(A272="",A272="DNS"),0,IF(A272="DNF",1,IF(ISNUMBER(A272),IF($I$208="J",IF(A272&lt;=11,VLOOKUP(A272,Punten!$A$2:$C$31,3,FALSE()),1),IF(A272&lt;=30,VLOOKUP(A272,Punten!$A$2:$C$31,2,FALSE()),1)),0))))</f>
        <v>0</v>
      </c>
    </row>
    <row r="273" spans="1:9" x14ac:dyDescent="0.25">
      <c r="A273" s="12"/>
      <c r="B273" s="13"/>
      <c r="C273" s="17"/>
      <c r="D273" s="13"/>
      <c r="E273" s="13"/>
      <c r="F273" s="13"/>
      <c r="G273" s="15"/>
      <c r="H273" s="15"/>
      <c r="I273" s="16">
        <f>IF(C273="",0,IF(OR(A273="",A273="DNS"),0,IF(A273="DNF",1,IF(ISNUMBER(A273),IF($I$208="J",IF(A273&lt;=11,VLOOKUP(A273,Punten!$A$2:$C$31,3,FALSE()),1),IF(A273&lt;=30,VLOOKUP(A273,Punten!$A$2:$C$31,2,FALSE()),1)),0))))</f>
        <v>0</v>
      </c>
    </row>
    <row r="274" spans="1:9" x14ac:dyDescent="0.25">
      <c r="A274" s="12"/>
      <c r="B274" s="13"/>
      <c r="C274" s="17"/>
      <c r="D274" s="13"/>
      <c r="E274" s="13"/>
      <c r="F274" s="13"/>
      <c r="G274" s="15"/>
      <c r="H274" s="15"/>
      <c r="I274" s="16">
        <f>IF(C274="",0,IF(OR(A274="",A274="DNS"),0,IF(A274="DNF",1,IF(ISNUMBER(A274),IF($I$208="J",IF(A274&lt;=11,VLOOKUP(A274,Punten!$A$2:$C$31,3,FALSE()),1),IF(A274&lt;=30,VLOOKUP(A274,Punten!$A$2:$C$31,2,FALSE()),1)),0))))</f>
        <v>0</v>
      </c>
    </row>
    <row r="275" spans="1:9" x14ac:dyDescent="0.25">
      <c r="A275" s="12"/>
      <c r="B275" s="13"/>
      <c r="C275" s="17"/>
      <c r="D275" s="13"/>
      <c r="E275" s="13"/>
      <c r="F275" s="13"/>
      <c r="G275" s="15"/>
      <c r="H275" s="15"/>
      <c r="I275" s="16">
        <f>IF(C275="",0,IF(OR(A275="",A275="DNS"),0,IF(A275="DNF",1,IF(ISNUMBER(A275),IF($I$208="J",IF(A275&lt;=11,VLOOKUP(A275,Punten!$A$2:$C$31,3,FALSE()),1),IF(A275&lt;=30,VLOOKUP(A275,Punten!$A$2:$C$31,2,FALSE()),1)),0))))</f>
        <v>0</v>
      </c>
    </row>
    <row r="276" spans="1:9" x14ac:dyDescent="0.25">
      <c r="A276" s="12"/>
      <c r="B276" s="13"/>
      <c r="C276" s="17"/>
      <c r="D276" s="13"/>
      <c r="E276" s="13"/>
      <c r="F276" s="13"/>
      <c r="G276" s="15"/>
      <c r="H276" s="15"/>
      <c r="I276" s="16">
        <f>IF(C276="",0,IF(OR(A276="",A276="DNS"),0,IF(A276="DNF",1,IF(ISNUMBER(A276),IF($I$208="J",IF(A276&lt;=11,VLOOKUP(A276,Punten!$A$2:$C$31,3,FALSE()),1),IF(A276&lt;=30,VLOOKUP(A276,Punten!$A$2:$C$31,2,FALSE()),1)),0))))</f>
        <v>0</v>
      </c>
    </row>
    <row r="277" spans="1:9" x14ac:dyDescent="0.25">
      <c r="A277" s="12"/>
      <c r="B277" s="13"/>
      <c r="C277" s="17"/>
      <c r="D277" s="13"/>
      <c r="E277" s="13"/>
      <c r="F277" s="13"/>
      <c r="G277" s="15"/>
      <c r="H277" s="15"/>
      <c r="I277" s="16">
        <f>IF(C277="",0,IF(OR(A277="",A277="DNS"),0,IF(A277="DNF",1,IF(ISNUMBER(A277),IF($I$208="J",IF(A277&lt;=11,VLOOKUP(A277,Punten!$A$2:$C$31,3,FALSE()),1),IF(A277&lt;=30,VLOOKUP(A277,Punten!$A$2:$C$31,2,FALSE()),1)),0))))</f>
        <v>0</v>
      </c>
    </row>
    <row r="278" spans="1:9" x14ac:dyDescent="0.25">
      <c r="A278" s="12"/>
      <c r="B278" s="13"/>
      <c r="C278" s="17"/>
      <c r="D278" s="13"/>
      <c r="E278" s="13"/>
      <c r="F278" s="13"/>
      <c r="G278" s="15"/>
      <c r="H278" s="15"/>
      <c r="I278" s="16">
        <f>IF(C278="",0,IF(OR(A278="",A278="DNS"),0,IF(A278="DNF",1,IF(ISNUMBER(A278),IF($I$208="J",IF(A278&lt;=11,VLOOKUP(A278,Punten!$A$2:$C$31,3,FALSE()),1),IF(A278&lt;=30,VLOOKUP(A278,Punten!$A$2:$C$31,2,FALSE()),1)),0))))</f>
        <v>0</v>
      </c>
    </row>
    <row r="279" spans="1:9" x14ac:dyDescent="0.25">
      <c r="A279" s="12"/>
      <c r="B279" s="13"/>
      <c r="C279" s="17"/>
      <c r="D279" s="13"/>
      <c r="E279" s="13"/>
      <c r="F279" s="13"/>
      <c r="G279" s="15"/>
      <c r="H279" s="15"/>
      <c r="I279" s="16">
        <f>IF(C279="",0,IF(OR(A279="",A279="DNS"),0,IF(A279="DNF",1,IF(ISNUMBER(A279),IF($I$208="J",IF(A279&lt;=11,VLOOKUP(A279,Punten!$A$2:$C$31,3,FALSE()),1),IF(A279&lt;=30,VLOOKUP(A279,Punten!$A$2:$C$31,2,FALSE()),1)),0))))</f>
        <v>0</v>
      </c>
    </row>
    <row r="280" spans="1:9" x14ac:dyDescent="0.25">
      <c r="A280" s="12"/>
      <c r="B280" s="13"/>
      <c r="C280" s="17"/>
      <c r="D280" s="13"/>
      <c r="E280" s="13"/>
      <c r="F280" s="13"/>
      <c r="G280" s="15"/>
      <c r="H280" s="15"/>
      <c r="I280" s="16">
        <f>IF(C280="",0,IF(OR(A280="",A280="DNS"),0,IF(A280="DNF",1,IF(ISNUMBER(A280),IF($I$208="J",IF(A280&lt;=11,VLOOKUP(A280,Punten!$A$2:$C$31,3,FALSE()),1),IF(A280&lt;=30,VLOOKUP(A280,Punten!$A$2:$C$31,2,FALSE()),1)),0))))</f>
        <v>0</v>
      </c>
    </row>
    <row r="281" spans="1:9" x14ac:dyDescent="0.25">
      <c r="A281" s="12"/>
      <c r="B281" s="13"/>
      <c r="C281" s="17"/>
      <c r="D281" s="13"/>
      <c r="E281" s="13"/>
      <c r="F281" s="13"/>
      <c r="G281" s="15"/>
      <c r="H281" s="15"/>
      <c r="I281" s="16">
        <f>IF(C281="",0,IF(OR(A281="",A281="DNS"),0,IF(A281="DNF",1,IF(ISNUMBER(A281),IF($I$208="J",IF(A281&lt;=11,VLOOKUP(A281,Punten!$A$2:$C$31,3,FALSE()),1),IF(A281&lt;=30,VLOOKUP(A281,Punten!$A$2:$C$31,2,FALSE()),1)),0))))</f>
        <v>0</v>
      </c>
    </row>
    <row r="282" spans="1:9" x14ac:dyDescent="0.25">
      <c r="A282" s="12"/>
      <c r="B282" s="13"/>
      <c r="C282" s="17"/>
      <c r="D282" s="13"/>
      <c r="E282" s="13"/>
      <c r="F282" s="13"/>
      <c r="G282" s="15"/>
      <c r="H282" s="15"/>
      <c r="I282" s="16">
        <f>IF(C282="",0,IF(OR(A282="",A282="DNS"),0,IF(A282="DNF",1,IF(ISNUMBER(A282),IF($I$208="J",IF(A282&lt;=11,VLOOKUP(A282,Punten!$A$2:$C$31,3,FALSE()),1),IF(A282&lt;=30,VLOOKUP(A282,Punten!$A$2:$C$31,2,FALSE()),1)),0))))</f>
        <v>0</v>
      </c>
    </row>
    <row r="283" spans="1:9" x14ac:dyDescent="0.25">
      <c r="A283" s="12"/>
      <c r="B283" s="13"/>
      <c r="C283" s="17"/>
      <c r="D283" s="13"/>
      <c r="E283" s="13"/>
      <c r="F283" s="13"/>
      <c r="G283" s="15"/>
      <c r="H283" s="15"/>
      <c r="I283" s="16">
        <f>IF(C283="",0,IF(OR(A283="",A283="DNS"),0,IF(A283="DNF",1,IF(ISNUMBER(A283),IF($I$208="J",IF(A283&lt;=11,VLOOKUP(A283,Punten!$A$2:$C$31,3,FALSE()),1),IF(A283&lt;=30,VLOOKUP(A283,Punten!$A$2:$C$31,2,FALSE()),1)),0))))</f>
        <v>0</v>
      </c>
    </row>
    <row r="284" spans="1:9" x14ac:dyDescent="0.25">
      <c r="A284" s="12"/>
      <c r="B284" s="13"/>
      <c r="C284" s="17"/>
      <c r="D284" s="13"/>
      <c r="E284" s="13"/>
      <c r="F284" s="13"/>
      <c r="G284" s="15"/>
      <c r="H284" s="15"/>
      <c r="I284" s="16">
        <f>IF(C284="",0,IF(OR(A284="",A284="DNS"),0,IF(A284="DNF",1,IF(ISNUMBER(A284),IF($I$208="J",IF(A284&lt;=11,VLOOKUP(A284,Punten!$A$2:$C$31,3,FALSE()),1),IF(A284&lt;=30,VLOOKUP(A284,Punten!$A$2:$C$31,2,FALSE()),1)),0))))</f>
        <v>0</v>
      </c>
    </row>
    <row r="285" spans="1:9" x14ac:dyDescent="0.25">
      <c r="A285" s="12"/>
      <c r="B285" s="13"/>
      <c r="C285" s="17"/>
      <c r="D285" s="13"/>
      <c r="E285" s="13"/>
      <c r="F285" s="13"/>
      <c r="G285" s="15"/>
      <c r="H285" s="15"/>
      <c r="I285" s="16">
        <f>IF(C285="",0,IF(OR(A285="",A285="DNS"),0,IF(A285="DNF",1,IF(ISNUMBER(A285),IF($I$208="J",IF(A285&lt;=11,VLOOKUP(A285,Punten!$A$2:$C$31,3,FALSE()),1),IF(A285&lt;=30,VLOOKUP(A285,Punten!$A$2:$C$31,2,FALSE()),1)),0))))</f>
        <v>0</v>
      </c>
    </row>
    <row r="286" spans="1:9" x14ac:dyDescent="0.25">
      <c r="A286" s="12"/>
      <c r="B286" s="13"/>
      <c r="C286" s="17"/>
      <c r="D286" s="13"/>
      <c r="E286" s="13"/>
      <c r="F286" s="13"/>
      <c r="G286" s="15"/>
      <c r="H286" s="15"/>
      <c r="I286" s="16">
        <f>IF(C286="",0,IF(OR(A286="",A286="DNS"),0,IF(A286="DNF",1,IF(ISNUMBER(A286),IF($I$208="J",IF(A286&lt;=11,VLOOKUP(A286,Punten!$A$2:$C$31,3,FALSE()),1),IF(A286&lt;=30,VLOOKUP(A286,Punten!$A$2:$C$31,2,FALSE()),1)),0))))</f>
        <v>0</v>
      </c>
    </row>
    <row r="287" spans="1:9" x14ac:dyDescent="0.25">
      <c r="A287" s="12"/>
      <c r="B287" s="13"/>
      <c r="C287" s="17"/>
      <c r="D287" s="13"/>
      <c r="E287" s="13"/>
      <c r="F287" s="13"/>
      <c r="G287" s="15"/>
      <c r="H287" s="15"/>
      <c r="I287" s="16">
        <f>IF(C287="",0,IF(OR(A287="",A287="DNS"),0,IF(A287="DNF",1,IF(ISNUMBER(A287),IF($I$208="J",IF(A287&lt;=11,VLOOKUP(A287,Punten!$A$2:$C$31,3,FALSE()),1),IF(A287&lt;=30,VLOOKUP(A287,Punten!$A$2:$C$31,2,FALSE()),1)),0))))</f>
        <v>0</v>
      </c>
    </row>
    <row r="288" spans="1:9" x14ac:dyDescent="0.25">
      <c r="A288" s="12"/>
      <c r="B288" s="13"/>
      <c r="C288" s="17"/>
      <c r="D288" s="13"/>
      <c r="E288" s="13"/>
      <c r="F288" s="13"/>
      <c r="G288" s="15"/>
      <c r="H288" s="15"/>
      <c r="I288" s="16">
        <f>IF(C288="",0,IF(OR(A288="",A288="DNS"),0,IF(A288="DNF",1,IF(ISNUMBER(A288),IF($I$208="J",IF(A288&lt;=11,VLOOKUP(A288,Punten!$A$2:$C$31,3,FALSE()),1),IF(A288&lt;=30,VLOOKUP(A288,Punten!$A$2:$C$31,2,FALSE()),1)),0))))</f>
        <v>0</v>
      </c>
    </row>
    <row r="289" spans="1:9" x14ac:dyDescent="0.25">
      <c r="A289" s="12"/>
      <c r="B289" s="13"/>
      <c r="C289" s="17"/>
      <c r="D289" s="13"/>
      <c r="E289" s="13"/>
      <c r="F289" s="13"/>
      <c r="G289" s="15"/>
      <c r="H289" s="15"/>
      <c r="I289" s="16">
        <f>IF(C289="",0,IF(OR(A289="",A289="DNS"),0,IF(A289="DNF",1,IF(ISNUMBER(A289),IF($I$208="J",IF(A289&lt;=11,VLOOKUP(A289,Punten!$A$2:$C$31,3,FALSE()),1),IF(A289&lt;=30,VLOOKUP(A289,Punten!$A$2:$C$31,2,FALSE()),1)),0))))</f>
        <v>0</v>
      </c>
    </row>
    <row r="290" spans="1:9" x14ac:dyDescent="0.25">
      <c r="A290" s="12"/>
      <c r="B290" s="13"/>
      <c r="C290" s="17"/>
      <c r="D290" s="13"/>
      <c r="E290" s="13"/>
      <c r="F290" s="13"/>
      <c r="G290" s="15"/>
      <c r="H290" s="15"/>
      <c r="I290" s="16">
        <f>IF(C290="",0,IF(OR(A290="",A290="DNS"),0,IF(A290="DNF",1,IF(ISNUMBER(A290),IF($I$208="J",IF(A290&lt;=11,VLOOKUP(A290,Punten!$A$2:$C$31,3,FALSE()),1),IF(A290&lt;=30,VLOOKUP(A290,Punten!$A$2:$C$31,2,FALSE()),1)),0))))</f>
        <v>0</v>
      </c>
    </row>
    <row r="291" spans="1:9" x14ac:dyDescent="0.25">
      <c r="A291" s="12"/>
      <c r="B291" s="13"/>
      <c r="C291" s="17"/>
      <c r="D291" s="13"/>
      <c r="E291" s="13"/>
      <c r="F291" s="13"/>
      <c r="G291" s="15"/>
      <c r="H291" s="15"/>
      <c r="I291" s="16">
        <f>IF(C291="",0,IF(OR(A291="",A291="DNS"),0,IF(A291="DNF",1,IF(ISNUMBER(A291),IF($I$208="J",IF(A291&lt;=11,VLOOKUP(A291,Punten!$A$2:$C$31,3,FALSE()),1),IF(A291&lt;=30,VLOOKUP(A291,Punten!$A$2:$C$31,2,FALSE()),1)),0))))</f>
        <v>0</v>
      </c>
    </row>
    <row r="292" spans="1:9" x14ac:dyDescent="0.25">
      <c r="A292" s="12"/>
      <c r="B292" s="13"/>
      <c r="C292" s="17"/>
      <c r="D292" s="13"/>
      <c r="E292" s="13"/>
      <c r="F292" s="13"/>
      <c r="G292" s="15"/>
      <c r="H292" s="15"/>
      <c r="I292" s="16">
        <f>IF(C292="",0,IF(OR(A292="",A292="DNS"),0,IF(A292="DNF",1,IF(ISNUMBER(A292),IF($I$208="J",IF(A292&lt;=11,VLOOKUP(A292,Punten!$A$2:$C$31,3,FALSE()),1),IF(A292&lt;=30,VLOOKUP(A292,Punten!$A$2:$C$31,2,FALSE()),1)),0))))</f>
        <v>0</v>
      </c>
    </row>
    <row r="293" spans="1:9" x14ac:dyDescent="0.25">
      <c r="A293" s="12"/>
      <c r="B293" s="13"/>
      <c r="C293" s="17"/>
      <c r="D293" s="13"/>
      <c r="E293" s="13"/>
      <c r="F293" s="13"/>
      <c r="G293" s="15"/>
      <c r="H293" s="15"/>
      <c r="I293" s="16">
        <f>IF(C293="",0,IF(OR(A293="",A293="DNS"),0,IF(A293="DNF",1,IF(ISNUMBER(A293),IF($I$208="J",IF(A293&lt;=11,VLOOKUP(A293,Punten!$A$2:$C$31,3,FALSE()),1),IF(A293&lt;=30,VLOOKUP(A293,Punten!$A$2:$C$31,2,FALSE()),1)),0))))</f>
        <v>0</v>
      </c>
    </row>
    <row r="294" spans="1:9" x14ac:dyDescent="0.25">
      <c r="A294" s="12"/>
      <c r="B294" s="13"/>
      <c r="C294" s="17"/>
      <c r="D294" s="13"/>
      <c r="E294" s="13"/>
      <c r="F294" s="13"/>
      <c r="G294" s="15"/>
      <c r="H294" s="15"/>
      <c r="I294" s="16">
        <f>IF(C294="",0,IF(OR(A294="",A294="DNS"),0,IF(A294="DNF",1,IF(ISNUMBER(A294),IF($I$208="J",IF(A294&lt;=11,VLOOKUP(A294,Punten!$A$2:$C$31,3,FALSE()),1),IF(A294&lt;=30,VLOOKUP(A294,Punten!$A$2:$C$31,2,FALSE()),1)),0))))</f>
        <v>0</v>
      </c>
    </row>
    <row r="295" spans="1:9" x14ac:dyDescent="0.25">
      <c r="A295" s="12"/>
      <c r="B295" s="13"/>
      <c r="C295" s="17"/>
      <c r="D295" s="13"/>
      <c r="E295" s="13"/>
      <c r="F295" s="13"/>
      <c r="G295" s="15"/>
      <c r="H295" s="15"/>
      <c r="I295" s="16">
        <f>IF(C295="",0,IF(OR(A295="",A295="DNS"),0,IF(A295="DNF",1,IF(ISNUMBER(A295),IF($I$208="J",IF(A295&lt;=11,VLOOKUP(A295,Punten!$A$2:$C$31,3,FALSE()),1),IF(A295&lt;=30,VLOOKUP(A295,Punten!$A$2:$C$31,2,FALSE()),1)),0))))</f>
        <v>0</v>
      </c>
    </row>
    <row r="296" spans="1:9" x14ac:dyDescent="0.25">
      <c r="A296" s="12"/>
      <c r="B296" s="13"/>
      <c r="C296" s="17"/>
      <c r="D296" s="13"/>
      <c r="E296" s="13"/>
      <c r="F296" s="13"/>
      <c r="G296" s="15"/>
      <c r="H296" s="15"/>
      <c r="I296" s="16">
        <f>IF(C296="",0,IF(OR(A296="",A296="DNS"),0,IF(A296="DNF",1,IF(ISNUMBER(A296),IF($I$208="J",IF(A296&lt;=11,VLOOKUP(A296,Punten!$A$2:$C$31,3,FALSE()),1),IF(A296&lt;=30,VLOOKUP(A296,Punten!$A$2:$C$31,2,FALSE()),1)),0))))</f>
        <v>0</v>
      </c>
    </row>
    <row r="297" spans="1:9" x14ac:dyDescent="0.25">
      <c r="A297" s="12"/>
      <c r="B297" s="13"/>
      <c r="C297" s="17"/>
      <c r="D297" s="13"/>
      <c r="E297" s="13"/>
      <c r="F297" s="13"/>
      <c r="G297" s="15"/>
      <c r="H297" s="15"/>
      <c r="I297" s="16">
        <f>IF(C297="",0,IF(OR(A297="",A297="DNS"),0,IF(A297="DNF",1,IF(ISNUMBER(A297),IF($I$208="J",IF(A297&lt;=11,VLOOKUP(A297,Punten!$A$2:$C$31,3,FALSE()),1),IF(A297&lt;=30,VLOOKUP(A297,Punten!$A$2:$C$31,2,FALSE()),1)),0))))</f>
        <v>0</v>
      </c>
    </row>
    <row r="298" spans="1:9" x14ac:dyDescent="0.25">
      <c r="A298" s="12"/>
      <c r="B298" s="13"/>
      <c r="C298" s="17"/>
      <c r="D298" s="13"/>
      <c r="E298" s="13"/>
      <c r="F298" s="13"/>
      <c r="G298" s="15"/>
      <c r="H298" s="15"/>
      <c r="I298" s="16">
        <f>IF(C298="",0,IF(OR(A298="",A298="DNS"),0,IF(A298="DNF",1,IF(ISNUMBER(A298),IF($I$208="J",IF(A298&lt;=11,VLOOKUP(A298,Punten!$A$2:$C$31,3,FALSE()),1),IF(A298&lt;=30,VLOOKUP(A298,Punten!$A$2:$C$31,2,FALSE()),1)),0))))</f>
        <v>0</v>
      </c>
    </row>
    <row r="299" spans="1:9" x14ac:dyDescent="0.25">
      <c r="A299" s="12"/>
      <c r="B299" s="13"/>
      <c r="C299" s="17"/>
      <c r="D299" s="13"/>
      <c r="E299" s="13"/>
      <c r="F299" s="13"/>
      <c r="G299" s="15"/>
      <c r="H299" s="15"/>
      <c r="I299" s="16">
        <f>IF(C299="",0,IF(OR(A299="",A299="DNS"),0,IF(A299="DNF",1,IF(ISNUMBER(A299),IF($I$208="J",IF(A299&lt;=11,VLOOKUP(A299,Punten!$A$2:$C$31,3,FALSE()),1),IF(A299&lt;=30,VLOOKUP(A299,Punten!$A$2:$C$31,2,FALSE()),1)),0))))</f>
        <v>0</v>
      </c>
    </row>
    <row r="300" spans="1:9" x14ac:dyDescent="0.25">
      <c r="A300" s="12"/>
      <c r="B300" s="13"/>
      <c r="C300" s="17"/>
      <c r="D300" s="13"/>
      <c r="E300" s="13"/>
      <c r="F300" s="13"/>
      <c r="G300" s="15"/>
      <c r="H300" s="15"/>
      <c r="I300" s="16">
        <f>IF(C300="",0,IF(OR(A300="",A300="DNS"),0,IF(A300="DNF",1,IF(ISNUMBER(A300),IF($I$208="J",IF(A300&lt;=11,VLOOKUP(A300,Punten!$A$2:$C$31,3,FALSE()),1),IF(A300&lt;=30,VLOOKUP(A300,Punten!$A$2:$C$31,2,FALSE()),1)),0))))</f>
        <v>0</v>
      </c>
    </row>
    <row r="301" spans="1:9" x14ac:dyDescent="0.25">
      <c r="A301" s="12"/>
      <c r="B301" s="13"/>
      <c r="C301" s="17"/>
      <c r="D301" s="13"/>
      <c r="E301" s="13"/>
      <c r="F301" s="13"/>
      <c r="G301" s="15"/>
      <c r="H301" s="15"/>
      <c r="I301" s="16">
        <f>IF(C301="",0,IF(OR(A301="",A301="DNS"),0,IF(A301="DNF",1,IF(ISNUMBER(A301),IF($I$208="J",IF(A301&lt;=11,VLOOKUP(A301,Punten!$A$2:$C$31,3,FALSE()),1),IF(A301&lt;=30,VLOOKUP(A301,Punten!$A$2:$C$31,2,FALSE()),1)),0))))</f>
        <v>0</v>
      </c>
    </row>
    <row r="302" spans="1:9" x14ac:dyDescent="0.25">
      <c r="A302" s="12"/>
      <c r="B302" s="13"/>
      <c r="C302" s="17"/>
      <c r="D302" s="13"/>
      <c r="E302" s="13"/>
      <c r="F302" s="13"/>
      <c r="G302" s="15"/>
      <c r="H302" s="15"/>
      <c r="I302" s="16">
        <f>IF(C302="",0,IF(OR(A302="",A302="DNS"),0,IF(A302="DNF",1,IF(ISNUMBER(A302),IF($I$208="J",IF(A302&lt;=11,VLOOKUP(A302,Punten!$A$2:$C$31,3,FALSE()),1),IF(A302&lt;=30,VLOOKUP(A302,Punten!$A$2:$C$31,2,FALSE()),1)),0))))</f>
        <v>0</v>
      </c>
    </row>
    <row r="303" spans="1:9" x14ac:dyDescent="0.25">
      <c r="A303" s="12"/>
      <c r="B303" s="13"/>
      <c r="C303" s="17"/>
      <c r="D303" s="13"/>
      <c r="E303" s="13"/>
      <c r="F303" s="13"/>
      <c r="G303" s="15"/>
      <c r="H303" s="15"/>
      <c r="I303" s="16">
        <f>IF(C303="",0,IF(OR(A303="",A303="DNS"),0,IF(A303="DNF",1,IF(ISNUMBER(A303),IF($I$208="J",IF(A303&lt;=11,VLOOKUP(A303,Punten!$A$2:$C$31,3,FALSE()),1),IF(A303&lt;=30,VLOOKUP(A303,Punten!$A$2:$C$31,2,FALSE()),1)),0))))</f>
        <v>0</v>
      </c>
    </row>
    <row r="304" spans="1:9" x14ac:dyDescent="0.25">
      <c r="A304" s="12"/>
      <c r="B304" s="13"/>
      <c r="C304" s="17"/>
      <c r="D304" s="13"/>
      <c r="E304" s="13"/>
      <c r="F304" s="13"/>
      <c r="G304" s="15"/>
      <c r="H304" s="15"/>
      <c r="I304" s="16">
        <f>IF(C304="",0,IF(OR(A304="",A304="DNS"),0,IF(A304="DNF",1,IF(ISNUMBER(A304),IF($I$208="J",IF(A304&lt;=11,VLOOKUP(A304,Punten!$A$2:$C$31,3,FALSE()),1),IF(A304&lt;=30,VLOOKUP(A304,Punten!$A$2:$C$31,2,FALSE()),1)),0))))</f>
        <v>0</v>
      </c>
    </row>
    <row r="305" spans="1:9" x14ac:dyDescent="0.25">
      <c r="A305" s="12"/>
      <c r="B305" s="13"/>
      <c r="C305" s="17"/>
      <c r="D305" s="13"/>
      <c r="E305" s="13"/>
      <c r="F305" s="13"/>
      <c r="G305" s="15"/>
      <c r="H305" s="15"/>
      <c r="I305" s="16">
        <f>IF(C305="",0,IF(OR(A305="",A305="DNS"),0,IF(A305="DNF",1,IF(ISNUMBER(A305),IF($I$208="J",IF(A305&lt;=11,VLOOKUP(A305,Punten!$A$2:$C$31,3,FALSE()),1),IF(A305&lt;=30,VLOOKUP(A305,Punten!$A$2:$C$31,2,FALSE()),1)),0))))</f>
        <v>0</v>
      </c>
    </row>
    <row r="306" spans="1:9" x14ac:dyDescent="0.25">
      <c r="A306" s="12"/>
      <c r="B306" s="13"/>
      <c r="C306" s="17"/>
      <c r="D306" s="13"/>
      <c r="E306" s="13"/>
      <c r="F306" s="13"/>
      <c r="G306" s="15"/>
      <c r="H306" s="15"/>
      <c r="I306" s="16">
        <f>IF(C306="",0,IF(OR(A306="",A306="DNS"),0,IF(A306="DNF",1,IF(ISNUMBER(A306),IF($I$208="J",IF(A306&lt;=11,VLOOKUP(A306,Punten!$A$2:$C$31,3,FALSE()),1),IF(A306&lt;=30,VLOOKUP(A306,Punten!$A$2:$C$31,2,FALSE()),1)),0))))</f>
        <v>0</v>
      </c>
    </row>
    <row r="307" spans="1:9" x14ac:dyDescent="0.25">
      <c r="A307" s="12"/>
      <c r="B307" s="13"/>
      <c r="C307" s="17"/>
      <c r="D307" s="13"/>
      <c r="E307" s="13"/>
      <c r="F307" s="13"/>
      <c r="G307" s="15"/>
      <c r="H307" s="15"/>
      <c r="I307" s="16">
        <f>IF(C307="",0,IF(OR(A307="",A307="DNS"),0,IF(A307="DNF",1,IF(ISNUMBER(A307),IF($I$208="J",IF(A307&lt;=11,VLOOKUP(A307,Punten!$A$2:$C$31,3,FALSE()),1),IF(A307&lt;=30,VLOOKUP(A307,Punten!$A$2:$C$31,2,FALSE()),1)),0))))</f>
        <v>0</v>
      </c>
    </row>
    <row r="308" spans="1:9" x14ac:dyDescent="0.25">
      <c r="A308" s="12"/>
      <c r="B308" s="13"/>
      <c r="C308" s="17"/>
      <c r="D308" s="13"/>
      <c r="E308" s="13"/>
      <c r="F308" s="13"/>
      <c r="G308" s="15"/>
      <c r="H308" s="15"/>
      <c r="I308" s="16">
        <f>IF(C308="",0,IF(OR(A308="",A308="DNS"),0,IF(A308="DNF",1,IF(ISNUMBER(A308),IF($I$208="J",IF(A308&lt;=11,VLOOKUP(A308,Punten!$A$2:$C$31,3,FALSE()),1),IF(A308&lt;=30,VLOOKUP(A308,Punten!$A$2:$C$31,2,FALSE()),1)),0))))</f>
        <v>0</v>
      </c>
    </row>
    <row r="309" spans="1:9" x14ac:dyDescent="0.25">
      <c r="A309" s="12"/>
      <c r="B309" s="13"/>
      <c r="C309" s="17"/>
      <c r="D309" s="13"/>
      <c r="E309" s="13"/>
      <c r="F309" s="13"/>
      <c r="G309" s="15"/>
      <c r="H309" s="15"/>
      <c r="I309" s="16">
        <f>IF(C309="",0,IF(OR(A309="",A309="DNS"),0,IF(A309="DNF",1,IF(ISNUMBER(A309),IF($I$208="J",IF(A309&lt;=11,VLOOKUP(A309,Punten!$A$2:$C$31,3,FALSE()),1),IF(A309&lt;=30,VLOOKUP(A309,Punten!$A$2:$C$31,2,FALSE()),1)),0))))</f>
        <v>0</v>
      </c>
    </row>
  </sheetData>
  <mergeCells count="1">
    <mergeCell ref="A1:I1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09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0" customWidth="1"/>
    <col min="2" max="2" width="14" customWidth="1"/>
    <col min="3" max="3" width="28" customWidth="1"/>
    <col min="4" max="5" width="14" customWidth="1"/>
    <col min="6" max="6" width="28" customWidth="1"/>
    <col min="7" max="7" width="14" customWidth="1"/>
    <col min="8" max="9" width="12" customWidth="1"/>
  </cols>
  <sheetData>
    <row r="1" spans="1:9" ht="18" customHeight="1" x14ac:dyDescent="0.25">
      <c r="A1" s="44" t="s">
        <v>143</v>
      </c>
      <c r="B1" s="44"/>
      <c r="C1" s="44"/>
      <c r="D1" s="44"/>
      <c r="E1" s="44"/>
      <c r="F1" s="44"/>
      <c r="G1" s="44"/>
      <c r="H1" s="44"/>
      <c r="I1" s="44"/>
    </row>
    <row r="2" spans="1:9" ht="16.5" customHeight="1" x14ac:dyDescent="0.25">
      <c r="A2" s="7" t="s">
        <v>22</v>
      </c>
      <c r="B2" s="8"/>
      <c r="C2" s="8"/>
      <c r="D2" s="8"/>
      <c r="E2" s="8"/>
      <c r="F2" s="8"/>
      <c r="G2" s="8"/>
      <c r="H2" s="9" t="s">
        <v>23</v>
      </c>
      <c r="I2" s="10" t="s">
        <v>24</v>
      </c>
    </row>
    <row r="3" spans="1:9" x14ac:dyDescent="0.25">
      <c r="A3" s="11" t="s">
        <v>25</v>
      </c>
      <c r="B3" s="11" t="s">
        <v>26</v>
      </c>
      <c r="C3" s="11" t="s">
        <v>27</v>
      </c>
      <c r="D3" s="11" t="s">
        <v>98</v>
      </c>
      <c r="E3" s="11" t="s">
        <v>28</v>
      </c>
      <c r="F3" s="11" t="s">
        <v>29</v>
      </c>
      <c r="G3" s="11" t="s">
        <v>30</v>
      </c>
      <c r="H3" s="11" t="s">
        <v>31</v>
      </c>
      <c r="I3" s="11" t="s">
        <v>32</v>
      </c>
    </row>
    <row r="4" spans="1:9" x14ac:dyDescent="0.25">
      <c r="A4" s="12"/>
      <c r="B4" s="13"/>
      <c r="C4" s="17"/>
      <c r="D4" s="13"/>
      <c r="E4" s="13"/>
      <c r="F4" s="13"/>
      <c r="G4" s="15"/>
      <c r="H4" s="15"/>
      <c r="I4" s="16">
        <f>IF(C4="",0,IF(OR(A4="",A4="DNS"),0,IF(A4="DNF",1,IF(ISNUMBER(A4),IF($I$2="J",IF(A4&lt;=11,VLOOKUP(A4,Punten!$A$2:$C$31,3,FALSE()),1),IF(A4&lt;=30,VLOOKUP(A4,Punten!$A$2:$C$31,2,FALSE()),1)),0))))</f>
        <v>0</v>
      </c>
    </row>
    <row r="5" spans="1:9" x14ac:dyDescent="0.25">
      <c r="A5" s="12"/>
      <c r="B5" s="13"/>
      <c r="C5" s="17"/>
      <c r="D5" s="13"/>
      <c r="E5" s="13"/>
      <c r="F5" s="13"/>
      <c r="G5" s="15"/>
      <c r="H5" s="15"/>
      <c r="I5" s="16">
        <f>IF(C5="",0,IF(OR(A5="",A5="DNS"),0,IF(A5="DNF",1,IF(ISNUMBER(A5),IF($I$2="J",IF(A5&lt;=11,VLOOKUP(A5,Punten!$A$2:$C$31,3,FALSE()),1),IF(A5&lt;=30,VLOOKUP(A5,Punten!$A$2:$C$31,2,FALSE()),1)),0))))</f>
        <v>0</v>
      </c>
    </row>
    <row r="6" spans="1:9" x14ac:dyDescent="0.25">
      <c r="A6" s="12"/>
      <c r="B6" s="13"/>
      <c r="C6" s="17"/>
      <c r="D6" s="13"/>
      <c r="E6" s="13"/>
      <c r="F6" s="13"/>
      <c r="G6" s="15"/>
      <c r="H6" s="15"/>
      <c r="I6" s="16">
        <f>IF(C6="",0,IF(OR(A6="",A6="DNS"),0,IF(A6="DNF",1,IF(ISNUMBER(A6),IF($I$2="J",IF(A6&lt;=11,VLOOKUP(A6,Punten!$A$2:$C$31,3,FALSE()),1),IF(A6&lt;=30,VLOOKUP(A6,Punten!$A$2:$C$31,2,FALSE()),1)),0))))</f>
        <v>0</v>
      </c>
    </row>
    <row r="7" spans="1:9" x14ac:dyDescent="0.25">
      <c r="A7" s="12"/>
      <c r="B7" s="13"/>
      <c r="C7" s="17"/>
      <c r="D7" s="13"/>
      <c r="E7" s="13"/>
      <c r="F7" s="13"/>
      <c r="G7" s="15"/>
      <c r="H7" s="15"/>
      <c r="I7" s="16">
        <f>IF(C7="",0,IF(OR(A7="",A7="DNS"),0,IF(A7="DNF",1,IF(ISNUMBER(A7),IF($I$2="J",IF(A7&lt;=11,VLOOKUP(A7,Punten!$A$2:$C$31,3,FALSE()),1),IF(A7&lt;=30,VLOOKUP(A7,Punten!$A$2:$C$31,2,FALSE()),1)),0))))</f>
        <v>0</v>
      </c>
    </row>
    <row r="8" spans="1:9" x14ac:dyDescent="0.25">
      <c r="A8" s="12"/>
      <c r="B8" s="13"/>
      <c r="C8" s="17"/>
      <c r="D8" s="13"/>
      <c r="E8" s="13"/>
      <c r="F8" s="13"/>
      <c r="G8" s="15"/>
      <c r="H8" s="15"/>
      <c r="I8" s="16">
        <f>IF(C8="",0,IF(OR(A8="",A8="DNS"),0,IF(A8="DNF",1,IF(ISNUMBER(A8),IF($I$2="J",IF(A8&lt;=11,VLOOKUP(A8,Punten!$A$2:$C$31,3,FALSE()),1),IF(A8&lt;=30,VLOOKUP(A8,Punten!$A$2:$C$31,2,FALSE()),1)),0))))</f>
        <v>0</v>
      </c>
    </row>
    <row r="9" spans="1:9" x14ac:dyDescent="0.25">
      <c r="A9" s="12"/>
      <c r="B9" s="13"/>
      <c r="C9" s="17"/>
      <c r="D9" s="13"/>
      <c r="E9" s="13"/>
      <c r="F9" s="13"/>
      <c r="G9" s="15"/>
      <c r="H9" s="15"/>
      <c r="I9" s="16">
        <f>IF(C9="",0,IF(OR(A9="",A9="DNS"),0,IF(A9="DNF",1,IF(ISNUMBER(A9),IF($I$2="J",IF(A9&lt;=11,VLOOKUP(A9,Punten!$A$2:$C$31,3,FALSE()),1),IF(A9&lt;=30,VLOOKUP(A9,Punten!$A$2:$C$31,2,FALSE()),1)),0))))</f>
        <v>0</v>
      </c>
    </row>
    <row r="10" spans="1:9" x14ac:dyDescent="0.25">
      <c r="A10" s="12"/>
      <c r="B10" s="13"/>
      <c r="C10" s="17"/>
      <c r="D10" s="13"/>
      <c r="E10" s="13"/>
      <c r="F10" s="13"/>
      <c r="G10" s="15"/>
      <c r="H10" s="15"/>
      <c r="I10" s="16">
        <f>IF(C10="",0,IF(OR(A10="",A10="DNS"),0,IF(A10="DNF",1,IF(ISNUMBER(A10),IF($I$2="J",IF(A10&lt;=11,VLOOKUP(A10,Punten!$A$2:$C$31,3,FALSE()),1),IF(A10&lt;=30,VLOOKUP(A10,Punten!$A$2:$C$31,2,FALSE()),1)),0))))</f>
        <v>0</v>
      </c>
    </row>
    <row r="11" spans="1:9" x14ac:dyDescent="0.25">
      <c r="A11" s="12"/>
      <c r="B11" s="13"/>
      <c r="C11" s="17"/>
      <c r="D11" s="13"/>
      <c r="E11" s="13"/>
      <c r="F11" s="13"/>
      <c r="G11" s="15"/>
      <c r="H11" s="15"/>
      <c r="I11" s="16">
        <f>IF(C11="",0,IF(OR(A11="",A11="DNS"),0,IF(A11="DNF",1,IF(ISNUMBER(A11),IF($I$2="J",IF(A11&lt;=11,VLOOKUP(A11,Punten!$A$2:$C$31,3,FALSE()),1),IF(A11&lt;=30,VLOOKUP(A11,Punten!$A$2:$C$31,2,FALSE()),1)),0))))</f>
        <v>0</v>
      </c>
    </row>
    <row r="12" spans="1:9" x14ac:dyDescent="0.25">
      <c r="A12" s="12"/>
      <c r="B12" s="13"/>
      <c r="C12" s="17"/>
      <c r="D12" s="13"/>
      <c r="E12" s="13"/>
      <c r="F12" s="13"/>
      <c r="G12" s="15"/>
      <c r="H12" s="15"/>
      <c r="I12" s="16">
        <f>IF(C12="",0,IF(OR(A12="",A12="DNS"),0,IF(A12="DNF",1,IF(ISNUMBER(A12),IF($I$2="J",IF(A12&lt;=11,VLOOKUP(A12,Punten!$A$2:$C$31,3,FALSE()),1),IF(A12&lt;=30,VLOOKUP(A12,Punten!$A$2:$C$31,2,FALSE()),1)),0))))</f>
        <v>0</v>
      </c>
    </row>
    <row r="13" spans="1:9" x14ac:dyDescent="0.25">
      <c r="A13" s="12"/>
      <c r="B13" s="13"/>
      <c r="C13" s="17"/>
      <c r="D13" s="13"/>
      <c r="E13" s="13"/>
      <c r="F13" s="13"/>
      <c r="G13" s="15"/>
      <c r="H13" s="15"/>
      <c r="I13" s="16">
        <f>IF(C13="",0,IF(OR(A13="",A13="DNS"),0,IF(A13="DNF",1,IF(ISNUMBER(A13),IF($I$2="J",IF(A13&lt;=11,VLOOKUP(A13,Punten!$A$2:$C$31,3,FALSE()),1),IF(A13&lt;=30,VLOOKUP(A13,Punten!$A$2:$C$31,2,FALSE()),1)),0))))</f>
        <v>0</v>
      </c>
    </row>
    <row r="14" spans="1:9" x14ac:dyDescent="0.25">
      <c r="A14" s="12"/>
      <c r="B14" s="13"/>
      <c r="C14" s="17"/>
      <c r="D14" s="13"/>
      <c r="E14" s="13"/>
      <c r="F14" s="13"/>
      <c r="G14" s="15"/>
      <c r="H14" s="15"/>
      <c r="I14" s="16">
        <f>IF(C14="",0,IF(OR(A14="",A14="DNS"),0,IF(A14="DNF",1,IF(ISNUMBER(A14),IF($I$2="J",IF(A14&lt;=11,VLOOKUP(A14,Punten!$A$2:$C$31,3,FALSE()),1),IF(A14&lt;=30,VLOOKUP(A14,Punten!$A$2:$C$31,2,FALSE()),1)),0))))</f>
        <v>0</v>
      </c>
    </row>
    <row r="15" spans="1:9" x14ac:dyDescent="0.25">
      <c r="A15" s="12"/>
      <c r="B15" s="13"/>
      <c r="C15" s="17"/>
      <c r="D15" s="13"/>
      <c r="E15" s="13"/>
      <c r="F15" s="13"/>
      <c r="G15" s="15"/>
      <c r="H15" s="15"/>
      <c r="I15" s="16">
        <f>IF(C15="",0,IF(OR(A15="",A15="DNS"),0,IF(A15="DNF",1,IF(ISNUMBER(A15),IF($I$2="J",IF(A15&lt;=11,VLOOKUP(A15,Punten!$A$2:$C$31,3,FALSE()),1),IF(A15&lt;=30,VLOOKUP(A15,Punten!$A$2:$C$31,2,FALSE()),1)),0))))</f>
        <v>0</v>
      </c>
    </row>
    <row r="16" spans="1:9" x14ac:dyDescent="0.25">
      <c r="A16" s="12"/>
      <c r="B16" s="13"/>
      <c r="C16" s="17"/>
      <c r="D16" s="13"/>
      <c r="E16" s="13"/>
      <c r="F16" s="13"/>
      <c r="G16" s="15"/>
      <c r="H16" s="15"/>
      <c r="I16" s="16">
        <f>IF(C16="",0,IF(OR(A16="",A16="DNS"),0,IF(A16="DNF",1,IF(ISNUMBER(A16),IF($I$2="J",IF(A16&lt;=11,VLOOKUP(A16,Punten!$A$2:$C$31,3,FALSE()),1),IF(A16&lt;=30,VLOOKUP(A16,Punten!$A$2:$C$31,2,FALSE()),1)),0))))</f>
        <v>0</v>
      </c>
    </row>
    <row r="17" spans="1:9" x14ac:dyDescent="0.25">
      <c r="A17" s="12"/>
      <c r="B17" s="13"/>
      <c r="C17" s="17"/>
      <c r="D17" s="13"/>
      <c r="E17" s="13"/>
      <c r="F17" s="13"/>
      <c r="G17" s="15"/>
      <c r="H17" s="15"/>
      <c r="I17" s="16">
        <f>IF(C17="",0,IF(OR(A17="",A17="DNS"),0,IF(A17="DNF",1,IF(ISNUMBER(A17),IF($I$2="J",IF(A17&lt;=11,VLOOKUP(A17,Punten!$A$2:$C$31,3,FALSE()),1),IF(A17&lt;=30,VLOOKUP(A17,Punten!$A$2:$C$31,2,FALSE()),1)),0))))</f>
        <v>0</v>
      </c>
    </row>
    <row r="18" spans="1:9" x14ac:dyDescent="0.25">
      <c r="A18" s="12"/>
      <c r="B18" s="13"/>
      <c r="C18" s="17"/>
      <c r="D18" s="13"/>
      <c r="E18" s="13"/>
      <c r="F18" s="13"/>
      <c r="G18" s="15"/>
      <c r="H18" s="15"/>
      <c r="I18" s="16">
        <f>IF(C18="",0,IF(OR(A18="",A18="DNS"),0,IF(A18="DNF",1,IF(ISNUMBER(A18),IF($I$2="J",IF(A18&lt;=11,VLOOKUP(A18,Punten!$A$2:$C$31,3,FALSE()),1),IF(A18&lt;=30,VLOOKUP(A18,Punten!$A$2:$C$31,2,FALSE()),1)),0))))</f>
        <v>0</v>
      </c>
    </row>
    <row r="19" spans="1:9" x14ac:dyDescent="0.25">
      <c r="A19" s="12"/>
      <c r="B19" s="13"/>
      <c r="C19" s="17"/>
      <c r="D19" s="13"/>
      <c r="E19" s="13"/>
      <c r="F19" s="13"/>
      <c r="G19" s="15"/>
      <c r="H19" s="15"/>
      <c r="I19" s="16">
        <f>IF(C19="",0,IF(OR(A19="",A19="DNS"),0,IF(A19="DNF",1,IF(ISNUMBER(A19),IF($I$2="J",IF(A19&lt;=11,VLOOKUP(A19,Punten!$A$2:$C$31,3,FALSE()),1),IF(A19&lt;=30,VLOOKUP(A19,Punten!$A$2:$C$31,2,FALSE()),1)),0))))</f>
        <v>0</v>
      </c>
    </row>
    <row r="20" spans="1:9" x14ac:dyDescent="0.25">
      <c r="A20" s="12"/>
      <c r="B20" s="13"/>
      <c r="C20" s="17"/>
      <c r="D20" s="13"/>
      <c r="E20" s="13"/>
      <c r="F20" s="13"/>
      <c r="G20" s="15"/>
      <c r="H20" s="15"/>
      <c r="I20" s="16">
        <f>IF(C20="",0,IF(OR(A20="",A20="DNS"),0,IF(A20="DNF",1,IF(ISNUMBER(A20),IF($I$2="J",IF(A20&lt;=11,VLOOKUP(A20,Punten!$A$2:$C$31,3,FALSE()),1),IF(A20&lt;=30,VLOOKUP(A20,Punten!$A$2:$C$31,2,FALSE()),1)),0))))</f>
        <v>0</v>
      </c>
    </row>
    <row r="21" spans="1:9" x14ac:dyDescent="0.25">
      <c r="A21" s="12"/>
      <c r="B21" s="13"/>
      <c r="C21" s="17"/>
      <c r="D21" s="13"/>
      <c r="E21" s="13"/>
      <c r="F21" s="13"/>
      <c r="G21" s="15"/>
      <c r="H21" s="15"/>
      <c r="I21" s="16">
        <f>IF(C21="",0,IF(OR(A21="",A21="DNS"),0,IF(A21="DNF",1,IF(ISNUMBER(A21),IF($I$2="J",IF(A21&lt;=11,VLOOKUP(A21,Punten!$A$2:$C$31,3,FALSE()),1),IF(A21&lt;=30,VLOOKUP(A21,Punten!$A$2:$C$31,2,FALSE()),1)),0))))</f>
        <v>0</v>
      </c>
    </row>
    <row r="22" spans="1:9" x14ac:dyDescent="0.25">
      <c r="A22" s="12"/>
      <c r="B22" s="13"/>
      <c r="C22" s="17"/>
      <c r="D22" s="13"/>
      <c r="E22" s="13"/>
      <c r="F22" s="13"/>
      <c r="G22" s="15"/>
      <c r="H22" s="15"/>
      <c r="I22" s="16">
        <f>IF(C22="",0,IF(OR(A22="",A22="DNS"),0,IF(A22="DNF",1,IF(ISNUMBER(A22),IF($I$2="J",IF(A22&lt;=11,VLOOKUP(A22,Punten!$A$2:$C$31,3,FALSE()),1),IF(A22&lt;=30,VLOOKUP(A22,Punten!$A$2:$C$31,2,FALSE()),1)),0))))</f>
        <v>0</v>
      </c>
    </row>
    <row r="23" spans="1:9" x14ac:dyDescent="0.25">
      <c r="A23" s="12"/>
      <c r="B23" s="13"/>
      <c r="C23" s="17"/>
      <c r="D23" s="13"/>
      <c r="E23" s="13"/>
      <c r="F23" s="13"/>
      <c r="G23" s="15"/>
      <c r="H23" s="15"/>
      <c r="I23" s="16">
        <f>IF(C23="",0,IF(OR(A23="",A23="DNS"),0,IF(A23="DNF",1,IF(ISNUMBER(A23),IF($I$2="J",IF(A23&lt;=11,VLOOKUP(A23,Punten!$A$2:$C$31,3,FALSE()),1),IF(A23&lt;=30,VLOOKUP(A23,Punten!$A$2:$C$31,2,FALSE()),1)),0))))</f>
        <v>0</v>
      </c>
    </row>
    <row r="24" spans="1:9" x14ac:dyDescent="0.25">
      <c r="A24" s="12"/>
      <c r="B24" s="13"/>
      <c r="C24" s="17"/>
      <c r="D24" s="13"/>
      <c r="E24" s="13"/>
      <c r="F24" s="13"/>
      <c r="G24" s="15"/>
      <c r="H24" s="15"/>
      <c r="I24" s="16">
        <f>IF(C24="",0,IF(OR(A24="",A24="DNS"),0,IF(A24="DNF",1,IF(ISNUMBER(A24),IF($I$2="J",IF(A24&lt;=11,VLOOKUP(A24,Punten!$A$2:$C$31,3,FALSE()),1),IF(A24&lt;=30,VLOOKUP(A24,Punten!$A$2:$C$31,2,FALSE()),1)),0))))</f>
        <v>0</v>
      </c>
    </row>
    <row r="25" spans="1:9" x14ac:dyDescent="0.25">
      <c r="A25" s="12"/>
      <c r="B25" s="13"/>
      <c r="C25" s="17"/>
      <c r="D25" s="13"/>
      <c r="E25" s="13"/>
      <c r="F25" s="13"/>
      <c r="G25" s="15"/>
      <c r="H25" s="15"/>
      <c r="I25" s="16">
        <f>IF(C25="",0,IF(OR(A25="",A25="DNS"),0,IF(A25="DNF",1,IF(ISNUMBER(A25),IF($I$2="J",IF(A25&lt;=11,VLOOKUP(A25,Punten!$A$2:$C$31,3,FALSE()),1),IF(A25&lt;=30,VLOOKUP(A25,Punten!$A$2:$C$31,2,FALSE()),1)),0))))</f>
        <v>0</v>
      </c>
    </row>
    <row r="26" spans="1:9" x14ac:dyDescent="0.25">
      <c r="A26" s="12"/>
      <c r="B26" s="13"/>
      <c r="C26" s="17"/>
      <c r="D26" s="13"/>
      <c r="E26" s="13"/>
      <c r="F26" s="13"/>
      <c r="G26" s="15"/>
      <c r="H26" s="15"/>
      <c r="I26" s="16">
        <f>IF(C26="",0,IF(OR(A26="",A26="DNS"),0,IF(A26="DNF",1,IF(ISNUMBER(A26),IF($I$2="J",IF(A26&lt;=11,VLOOKUP(A26,Punten!$A$2:$C$31,3,FALSE()),1),IF(A26&lt;=30,VLOOKUP(A26,Punten!$A$2:$C$31,2,FALSE()),1)),0))))</f>
        <v>0</v>
      </c>
    </row>
    <row r="27" spans="1:9" x14ac:dyDescent="0.25">
      <c r="A27" s="12"/>
      <c r="B27" s="13"/>
      <c r="C27" s="17"/>
      <c r="D27" s="13"/>
      <c r="E27" s="13"/>
      <c r="F27" s="13"/>
      <c r="G27" s="15"/>
      <c r="H27" s="15"/>
      <c r="I27" s="16">
        <f>IF(C27="",0,IF(OR(A27="",A27="DNS"),0,IF(A27="DNF",1,IF(ISNUMBER(A27),IF($I$2="J",IF(A27&lt;=11,VLOOKUP(A27,Punten!$A$2:$C$31,3,FALSE()),1),IF(A27&lt;=30,VLOOKUP(A27,Punten!$A$2:$C$31,2,FALSE()),1)),0))))</f>
        <v>0</v>
      </c>
    </row>
    <row r="28" spans="1:9" x14ac:dyDescent="0.25">
      <c r="A28" s="12"/>
      <c r="B28" s="13"/>
      <c r="C28" s="17"/>
      <c r="D28" s="13"/>
      <c r="E28" s="13"/>
      <c r="F28" s="13"/>
      <c r="G28" s="15"/>
      <c r="H28" s="15"/>
      <c r="I28" s="16">
        <f>IF(C28="",0,IF(OR(A28="",A28="DNS"),0,IF(A28="DNF",1,IF(ISNUMBER(A28),IF($I$2="J",IF(A28&lt;=11,VLOOKUP(A28,Punten!$A$2:$C$31,3,FALSE()),1),IF(A28&lt;=30,VLOOKUP(A28,Punten!$A$2:$C$31,2,FALSE()),1)),0))))</f>
        <v>0</v>
      </c>
    </row>
    <row r="29" spans="1:9" x14ac:dyDescent="0.25">
      <c r="A29" s="12"/>
      <c r="B29" s="13"/>
      <c r="C29" s="17"/>
      <c r="D29" s="13"/>
      <c r="E29" s="13"/>
      <c r="F29" s="13"/>
      <c r="G29" s="15"/>
      <c r="H29" s="15"/>
      <c r="I29" s="16">
        <f>IF(C29="",0,IF(OR(A29="",A29="DNS"),0,IF(A29="DNF",1,IF(ISNUMBER(A29),IF($I$2="J",IF(A29&lt;=11,VLOOKUP(A29,Punten!$A$2:$C$31,3,FALSE()),1),IF(A29&lt;=30,VLOOKUP(A29,Punten!$A$2:$C$31,2,FALSE()),1)),0))))</f>
        <v>0</v>
      </c>
    </row>
    <row r="30" spans="1:9" x14ac:dyDescent="0.25">
      <c r="A30" s="12"/>
      <c r="B30" s="13"/>
      <c r="C30" s="17"/>
      <c r="D30" s="13"/>
      <c r="E30" s="13"/>
      <c r="F30" s="13"/>
      <c r="G30" s="15"/>
      <c r="H30" s="15"/>
      <c r="I30" s="16">
        <f>IF(C30="",0,IF(OR(A30="",A30="DNS"),0,IF(A30="DNF",1,IF(ISNUMBER(A30),IF($I$2="J",IF(A30&lt;=11,VLOOKUP(A30,Punten!$A$2:$C$31,3,FALSE()),1),IF(A30&lt;=30,VLOOKUP(A30,Punten!$A$2:$C$31,2,FALSE()),1)),0))))</f>
        <v>0</v>
      </c>
    </row>
    <row r="31" spans="1:9" x14ac:dyDescent="0.25">
      <c r="A31" s="12"/>
      <c r="B31" s="13"/>
      <c r="C31" s="17"/>
      <c r="D31" s="13"/>
      <c r="E31" s="13"/>
      <c r="F31" s="13"/>
      <c r="G31" s="15"/>
      <c r="H31" s="15"/>
      <c r="I31" s="16">
        <f>IF(C31="",0,IF(OR(A31="",A31="DNS"),0,IF(A31="DNF",1,IF(ISNUMBER(A31),IF($I$2="J",IF(A31&lt;=11,VLOOKUP(A31,Punten!$A$2:$C$31,3,FALSE()),1),IF(A31&lt;=30,VLOOKUP(A31,Punten!$A$2:$C$31,2,FALSE()),1)),0))))</f>
        <v>0</v>
      </c>
    </row>
    <row r="32" spans="1:9" x14ac:dyDescent="0.25">
      <c r="A32" s="12"/>
      <c r="B32" s="13"/>
      <c r="C32" s="17"/>
      <c r="D32" s="13"/>
      <c r="E32" s="13"/>
      <c r="F32" s="13"/>
      <c r="G32" s="15"/>
      <c r="H32" s="15"/>
      <c r="I32" s="16">
        <f>IF(C32="",0,IF(OR(A32="",A32="DNS"),0,IF(A32="DNF",1,IF(ISNUMBER(A32),IF($I$2="J",IF(A32&lt;=11,VLOOKUP(A32,Punten!$A$2:$C$31,3,FALSE()),1),IF(A32&lt;=30,VLOOKUP(A32,Punten!$A$2:$C$31,2,FALSE()),1)),0))))</f>
        <v>0</v>
      </c>
    </row>
    <row r="33" spans="1:9" x14ac:dyDescent="0.25">
      <c r="A33" s="12"/>
      <c r="B33" s="13"/>
      <c r="C33" s="17"/>
      <c r="D33" s="13"/>
      <c r="E33" s="13"/>
      <c r="F33" s="13"/>
      <c r="G33" s="15"/>
      <c r="H33" s="15"/>
      <c r="I33" s="16">
        <f>IF(C33="",0,IF(OR(A33="",A33="DNS"),0,IF(A33="DNF",1,IF(ISNUMBER(A33),IF($I$2="J",IF(A33&lt;=11,VLOOKUP(A33,Punten!$A$2:$C$31,3,FALSE()),1),IF(A33&lt;=30,VLOOKUP(A33,Punten!$A$2:$C$31,2,FALSE()),1)),0))))</f>
        <v>0</v>
      </c>
    </row>
    <row r="34" spans="1:9" x14ac:dyDescent="0.25">
      <c r="A34" s="12"/>
      <c r="B34" s="13"/>
      <c r="C34" s="17"/>
      <c r="D34" s="13"/>
      <c r="E34" s="13"/>
      <c r="F34" s="13"/>
      <c r="G34" s="15"/>
      <c r="H34" s="15"/>
      <c r="I34" s="16">
        <f>IF(C34="",0,IF(OR(A34="",A34="DNS"),0,IF(A34="DNF",1,IF(ISNUMBER(A34),IF($I$2="J",IF(A34&lt;=11,VLOOKUP(A34,Punten!$A$2:$C$31,3,FALSE()),1),IF(A34&lt;=30,VLOOKUP(A34,Punten!$A$2:$C$31,2,FALSE()),1)),0))))</f>
        <v>0</v>
      </c>
    </row>
    <row r="35" spans="1:9" x14ac:dyDescent="0.25">
      <c r="A35" s="12"/>
      <c r="B35" s="13"/>
      <c r="C35" s="17"/>
      <c r="D35" s="13"/>
      <c r="E35" s="13"/>
      <c r="F35" s="13"/>
      <c r="G35" s="15"/>
      <c r="H35" s="15"/>
      <c r="I35" s="16">
        <f>IF(C35="",0,IF(OR(A35="",A35="DNS"),0,IF(A35="DNF",1,IF(ISNUMBER(A35),IF($I$2="J",IF(A35&lt;=11,VLOOKUP(A35,Punten!$A$2:$C$31,3,FALSE()),1),IF(A35&lt;=30,VLOOKUP(A35,Punten!$A$2:$C$31,2,FALSE()),1)),0))))</f>
        <v>0</v>
      </c>
    </row>
    <row r="36" spans="1:9" x14ac:dyDescent="0.25">
      <c r="A36" s="12"/>
      <c r="B36" s="13"/>
      <c r="C36" s="17"/>
      <c r="D36" s="13"/>
      <c r="E36" s="13"/>
      <c r="F36" s="13"/>
      <c r="G36" s="15"/>
      <c r="H36" s="15"/>
      <c r="I36" s="16">
        <f>IF(C36="",0,IF(OR(A36="",A36="DNS"),0,IF(A36="DNF",1,IF(ISNUMBER(A36),IF($I$2="J",IF(A36&lt;=11,VLOOKUP(A36,Punten!$A$2:$C$31,3,FALSE()),1),IF(A36&lt;=30,VLOOKUP(A36,Punten!$A$2:$C$31,2,FALSE()),1)),0))))</f>
        <v>0</v>
      </c>
    </row>
    <row r="37" spans="1:9" x14ac:dyDescent="0.25">
      <c r="A37" s="12"/>
      <c r="B37" s="13"/>
      <c r="C37" s="17"/>
      <c r="D37" s="13"/>
      <c r="E37" s="13"/>
      <c r="F37" s="13"/>
      <c r="G37" s="15"/>
      <c r="H37" s="15"/>
      <c r="I37" s="16">
        <f>IF(C37="",0,IF(OR(A37="",A37="DNS"),0,IF(A37="DNF",1,IF(ISNUMBER(A37),IF($I$2="J",IF(A37&lt;=11,VLOOKUP(A37,Punten!$A$2:$C$31,3,FALSE()),1),IF(A37&lt;=30,VLOOKUP(A37,Punten!$A$2:$C$31,2,FALSE()),1)),0))))</f>
        <v>0</v>
      </c>
    </row>
    <row r="38" spans="1:9" x14ac:dyDescent="0.25">
      <c r="A38" s="12"/>
      <c r="B38" s="13"/>
      <c r="C38" s="17"/>
      <c r="D38" s="13"/>
      <c r="E38" s="13"/>
      <c r="F38" s="13"/>
      <c r="G38" s="15"/>
      <c r="H38" s="15"/>
      <c r="I38" s="16">
        <f>IF(C38="",0,IF(OR(A38="",A38="DNS"),0,IF(A38="DNF",1,IF(ISNUMBER(A38),IF($I$2="J",IF(A38&lt;=11,VLOOKUP(A38,Punten!$A$2:$C$31,3,FALSE()),1),IF(A38&lt;=30,VLOOKUP(A38,Punten!$A$2:$C$31,2,FALSE()),1)),0))))</f>
        <v>0</v>
      </c>
    </row>
    <row r="39" spans="1:9" x14ac:dyDescent="0.25">
      <c r="A39" s="12"/>
      <c r="B39" s="13"/>
      <c r="C39" s="17"/>
      <c r="D39" s="13"/>
      <c r="E39" s="13"/>
      <c r="F39" s="13"/>
      <c r="G39" s="15"/>
      <c r="H39" s="15"/>
      <c r="I39" s="16">
        <f>IF(C39="",0,IF(OR(A39="",A39="DNS"),0,IF(A39="DNF",1,IF(ISNUMBER(A39),IF($I$2="J",IF(A39&lt;=11,VLOOKUP(A39,Punten!$A$2:$C$31,3,FALSE()),1),IF(A39&lt;=30,VLOOKUP(A39,Punten!$A$2:$C$31,2,FALSE()),1)),0))))</f>
        <v>0</v>
      </c>
    </row>
    <row r="40" spans="1:9" x14ac:dyDescent="0.25">
      <c r="A40" s="12"/>
      <c r="B40" s="13"/>
      <c r="C40" s="17"/>
      <c r="D40" s="13"/>
      <c r="E40" s="13"/>
      <c r="F40" s="13"/>
      <c r="G40" s="15"/>
      <c r="H40" s="15"/>
      <c r="I40" s="16">
        <f>IF(C40="",0,IF(OR(A40="",A40="DNS"),0,IF(A40="DNF",1,IF(ISNUMBER(A40),IF($I$2="J",IF(A40&lt;=11,VLOOKUP(A40,Punten!$A$2:$C$31,3,FALSE()),1),IF(A40&lt;=30,VLOOKUP(A40,Punten!$A$2:$C$31,2,FALSE()),1)),0))))</f>
        <v>0</v>
      </c>
    </row>
    <row r="41" spans="1:9" x14ac:dyDescent="0.25">
      <c r="A41" s="12"/>
      <c r="B41" s="13"/>
      <c r="C41" s="17"/>
      <c r="D41" s="13"/>
      <c r="E41" s="13"/>
      <c r="F41" s="13"/>
      <c r="G41" s="15"/>
      <c r="H41" s="15"/>
      <c r="I41" s="16">
        <f>IF(C41="",0,IF(OR(A41="",A41="DNS"),0,IF(A41="DNF",1,IF(ISNUMBER(A41),IF($I$2="J",IF(A41&lt;=11,VLOOKUP(A41,Punten!$A$2:$C$31,3,FALSE()),1),IF(A41&lt;=30,VLOOKUP(A41,Punten!$A$2:$C$31,2,FALSE()),1)),0))))</f>
        <v>0</v>
      </c>
    </row>
    <row r="42" spans="1:9" x14ac:dyDescent="0.25">
      <c r="A42" s="12"/>
      <c r="B42" s="13"/>
      <c r="C42" s="17"/>
      <c r="D42" s="13"/>
      <c r="E42" s="13"/>
      <c r="F42" s="13"/>
      <c r="G42" s="15"/>
      <c r="H42" s="15"/>
      <c r="I42" s="16">
        <f>IF(C42="",0,IF(OR(A42="",A42="DNS"),0,IF(A42="DNF",1,IF(ISNUMBER(A42),IF($I$2="J",IF(A42&lt;=11,VLOOKUP(A42,Punten!$A$2:$C$31,3,FALSE()),1),IF(A42&lt;=30,VLOOKUP(A42,Punten!$A$2:$C$31,2,FALSE()),1)),0))))</f>
        <v>0</v>
      </c>
    </row>
    <row r="43" spans="1:9" x14ac:dyDescent="0.25">
      <c r="A43" s="12"/>
      <c r="B43" s="13"/>
      <c r="C43" s="17"/>
      <c r="D43" s="13"/>
      <c r="E43" s="13"/>
      <c r="F43" s="13"/>
      <c r="G43" s="15"/>
      <c r="H43" s="15"/>
      <c r="I43" s="16">
        <f>IF(C43="",0,IF(OR(A43="",A43="DNS"),0,IF(A43="DNF",1,IF(ISNUMBER(A43),IF($I$2="J",IF(A43&lt;=11,VLOOKUP(A43,Punten!$A$2:$C$31,3,FALSE()),1),IF(A43&lt;=30,VLOOKUP(A43,Punten!$A$2:$C$31,2,FALSE()),1)),0))))</f>
        <v>0</v>
      </c>
    </row>
    <row r="44" spans="1:9" x14ac:dyDescent="0.25">
      <c r="A44" s="12"/>
      <c r="B44" s="13"/>
      <c r="C44" s="17"/>
      <c r="D44" s="13"/>
      <c r="E44" s="13"/>
      <c r="F44" s="13"/>
      <c r="G44" s="15"/>
      <c r="H44" s="15"/>
      <c r="I44" s="16">
        <f>IF(C44="",0,IF(OR(A44="",A44="DNS"),0,IF(A44="DNF",1,IF(ISNUMBER(A44),IF($I$2="J",IF(A44&lt;=11,VLOOKUP(A44,Punten!$A$2:$C$31,3,FALSE()),1),IF(A44&lt;=30,VLOOKUP(A44,Punten!$A$2:$C$31,2,FALSE()),1)),0))))</f>
        <v>0</v>
      </c>
    </row>
    <row r="45" spans="1:9" x14ac:dyDescent="0.25">
      <c r="A45" s="12"/>
      <c r="B45" s="13"/>
      <c r="C45" s="17"/>
      <c r="D45" s="13"/>
      <c r="E45" s="13"/>
      <c r="F45" s="13"/>
      <c r="G45" s="15"/>
      <c r="H45" s="15"/>
      <c r="I45" s="16">
        <f>IF(C45="",0,IF(OR(A45="",A45="DNS"),0,IF(A45="DNF",1,IF(ISNUMBER(A45),IF($I$2="J",IF(A45&lt;=11,VLOOKUP(A45,Punten!$A$2:$C$31,3,FALSE()),1),IF(A45&lt;=30,VLOOKUP(A45,Punten!$A$2:$C$31,2,FALSE()),1)),0))))</f>
        <v>0</v>
      </c>
    </row>
    <row r="46" spans="1:9" x14ac:dyDescent="0.25">
      <c r="A46" s="12"/>
      <c r="B46" s="13"/>
      <c r="C46" s="17"/>
      <c r="D46" s="13"/>
      <c r="E46" s="13"/>
      <c r="F46" s="13"/>
      <c r="G46" s="15"/>
      <c r="H46" s="15"/>
      <c r="I46" s="16">
        <f>IF(C46="",0,IF(OR(A46="",A46="DNS"),0,IF(A46="DNF",1,IF(ISNUMBER(A46),IF($I$2="J",IF(A46&lt;=11,VLOOKUP(A46,Punten!$A$2:$C$31,3,FALSE()),1),IF(A46&lt;=30,VLOOKUP(A46,Punten!$A$2:$C$31,2,FALSE()),1)),0))))</f>
        <v>0</v>
      </c>
    </row>
    <row r="47" spans="1:9" x14ac:dyDescent="0.25">
      <c r="A47" s="12"/>
      <c r="B47" s="13"/>
      <c r="C47" s="17"/>
      <c r="D47" s="13"/>
      <c r="E47" s="13"/>
      <c r="F47" s="13"/>
      <c r="G47" s="15"/>
      <c r="H47" s="15"/>
      <c r="I47" s="16">
        <f>IF(C47="",0,IF(OR(A47="",A47="DNS"),0,IF(A47="DNF",1,IF(ISNUMBER(A47),IF($I$2="J",IF(A47&lt;=11,VLOOKUP(A47,Punten!$A$2:$C$31,3,FALSE()),1),IF(A47&lt;=30,VLOOKUP(A47,Punten!$A$2:$C$31,2,FALSE()),1)),0))))</f>
        <v>0</v>
      </c>
    </row>
    <row r="48" spans="1:9" x14ac:dyDescent="0.25">
      <c r="A48" s="12"/>
      <c r="B48" s="13"/>
      <c r="C48" s="17"/>
      <c r="D48" s="13"/>
      <c r="E48" s="13"/>
      <c r="F48" s="13"/>
      <c r="G48" s="15"/>
      <c r="H48" s="15"/>
      <c r="I48" s="16">
        <f>IF(C48="",0,IF(OR(A48="",A48="DNS"),0,IF(A48="DNF",1,IF(ISNUMBER(A48),IF($I$2="J",IF(A48&lt;=11,VLOOKUP(A48,Punten!$A$2:$C$31,3,FALSE()),1),IF(A48&lt;=30,VLOOKUP(A48,Punten!$A$2:$C$31,2,FALSE()),1)),0))))</f>
        <v>0</v>
      </c>
    </row>
    <row r="49" spans="1:9" x14ac:dyDescent="0.25">
      <c r="A49" s="12"/>
      <c r="B49" s="13"/>
      <c r="C49" s="17"/>
      <c r="D49" s="13"/>
      <c r="E49" s="13"/>
      <c r="F49" s="13"/>
      <c r="G49" s="15"/>
      <c r="H49" s="15"/>
      <c r="I49" s="16">
        <f>IF(C49="",0,IF(OR(A49="",A49="DNS"),0,IF(A49="DNF",1,IF(ISNUMBER(A49),IF($I$2="J",IF(A49&lt;=11,VLOOKUP(A49,Punten!$A$2:$C$31,3,FALSE()),1),IF(A49&lt;=30,VLOOKUP(A49,Punten!$A$2:$C$31,2,FALSE()),1)),0))))</f>
        <v>0</v>
      </c>
    </row>
    <row r="50" spans="1:9" x14ac:dyDescent="0.25">
      <c r="A50" s="12"/>
      <c r="B50" s="13"/>
      <c r="C50" s="17"/>
      <c r="D50" s="13"/>
      <c r="E50" s="13"/>
      <c r="F50" s="13"/>
      <c r="G50" s="15"/>
      <c r="H50" s="15"/>
      <c r="I50" s="16">
        <f>IF(C50="",0,IF(OR(A50="",A50="DNS"),0,IF(A50="DNF",1,IF(ISNUMBER(A50),IF($I$2="J",IF(A50&lt;=11,VLOOKUP(A50,Punten!$A$2:$C$31,3,FALSE()),1),IF(A50&lt;=30,VLOOKUP(A50,Punten!$A$2:$C$31,2,FALSE()),1)),0))))</f>
        <v>0</v>
      </c>
    </row>
    <row r="51" spans="1:9" x14ac:dyDescent="0.25">
      <c r="A51" s="12"/>
      <c r="B51" s="13"/>
      <c r="C51" s="17"/>
      <c r="D51" s="13"/>
      <c r="E51" s="13"/>
      <c r="F51" s="13"/>
      <c r="G51" s="15"/>
      <c r="H51" s="15"/>
      <c r="I51" s="16">
        <f>IF(C51="",0,IF(OR(A51="",A51="DNS"),0,IF(A51="DNF",1,IF(ISNUMBER(A51),IF($I$2="J",IF(A51&lt;=11,VLOOKUP(A51,Punten!$A$2:$C$31,3,FALSE()),1),IF(A51&lt;=30,VLOOKUP(A51,Punten!$A$2:$C$31,2,FALSE()),1)),0))))</f>
        <v>0</v>
      </c>
    </row>
    <row r="52" spans="1:9" x14ac:dyDescent="0.25">
      <c r="A52" s="12"/>
      <c r="B52" s="13"/>
      <c r="C52" s="17"/>
      <c r="D52" s="13"/>
      <c r="E52" s="13"/>
      <c r="F52" s="13"/>
      <c r="G52" s="15"/>
      <c r="H52" s="15"/>
      <c r="I52" s="16">
        <f>IF(C52="",0,IF(OR(A52="",A52="DNS"),0,IF(A52="DNF",1,IF(ISNUMBER(A52),IF($I$2="J",IF(A52&lt;=11,VLOOKUP(A52,Punten!$A$2:$C$31,3,FALSE()),1),IF(A52&lt;=30,VLOOKUP(A52,Punten!$A$2:$C$31,2,FALSE()),1)),0))))</f>
        <v>0</v>
      </c>
    </row>
    <row r="53" spans="1:9" x14ac:dyDescent="0.25">
      <c r="A53" s="12"/>
      <c r="B53" s="13"/>
      <c r="C53" s="17"/>
      <c r="D53" s="13"/>
      <c r="E53" s="13"/>
      <c r="F53" s="13"/>
      <c r="G53" s="15"/>
      <c r="H53" s="15"/>
      <c r="I53" s="16">
        <f>IF(C53="",0,IF(OR(A53="",A53="DNS"),0,IF(A53="DNF",1,IF(ISNUMBER(A53),IF($I$2="J",IF(A53&lt;=11,VLOOKUP(A53,Punten!$A$2:$C$31,3,FALSE()),1),IF(A53&lt;=30,VLOOKUP(A53,Punten!$A$2:$C$31,2,FALSE()),1)),0))))</f>
        <v>0</v>
      </c>
    </row>
    <row r="54" spans="1:9" x14ac:dyDescent="0.25">
      <c r="A54" s="12"/>
      <c r="B54" s="13"/>
      <c r="C54" s="17"/>
      <c r="D54" s="13"/>
      <c r="E54" s="13"/>
      <c r="F54" s="13"/>
      <c r="G54" s="15"/>
      <c r="H54" s="15"/>
      <c r="I54" s="16">
        <f>IF(C54="",0,IF(OR(A54="",A54="DNS"),0,IF(A54="DNF",1,IF(ISNUMBER(A54),IF($I$2="J",IF(A54&lt;=11,VLOOKUP(A54,Punten!$A$2:$C$31,3,FALSE()),1),IF(A54&lt;=30,VLOOKUP(A54,Punten!$A$2:$C$31,2,FALSE()),1)),0))))</f>
        <v>0</v>
      </c>
    </row>
    <row r="55" spans="1:9" x14ac:dyDescent="0.25">
      <c r="A55" s="12"/>
      <c r="B55" s="13"/>
      <c r="C55" s="17"/>
      <c r="D55" s="13"/>
      <c r="E55" s="13"/>
      <c r="F55" s="13"/>
      <c r="G55" s="15"/>
      <c r="H55" s="15"/>
      <c r="I55" s="16">
        <f>IF(C55="",0,IF(OR(A55="",A55="DNS"),0,IF(A55="DNF",1,IF(ISNUMBER(A55),IF($I$2="J",IF(A55&lt;=11,VLOOKUP(A55,Punten!$A$2:$C$31,3,FALSE()),1),IF(A55&lt;=30,VLOOKUP(A55,Punten!$A$2:$C$31,2,FALSE()),1)),0))))</f>
        <v>0</v>
      </c>
    </row>
    <row r="56" spans="1:9" x14ac:dyDescent="0.25">
      <c r="A56" s="12"/>
      <c r="B56" s="13"/>
      <c r="C56" s="17"/>
      <c r="D56" s="13"/>
      <c r="E56" s="13"/>
      <c r="F56" s="13"/>
      <c r="G56" s="15"/>
      <c r="H56" s="15"/>
      <c r="I56" s="16">
        <f>IF(C56="",0,IF(OR(A56="",A56="DNS"),0,IF(A56="DNF",1,IF(ISNUMBER(A56),IF($I$2="J",IF(A56&lt;=11,VLOOKUP(A56,Punten!$A$2:$C$31,3,FALSE()),1),IF(A56&lt;=30,VLOOKUP(A56,Punten!$A$2:$C$31,2,FALSE()),1)),0))))</f>
        <v>0</v>
      </c>
    </row>
    <row r="57" spans="1:9" x14ac:dyDescent="0.25">
      <c r="A57" s="12"/>
      <c r="B57" s="13"/>
      <c r="C57" s="17"/>
      <c r="D57" s="13"/>
      <c r="E57" s="13"/>
      <c r="F57" s="13"/>
      <c r="G57" s="15"/>
      <c r="H57" s="15"/>
      <c r="I57" s="16">
        <f>IF(C57="",0,IF(OR(A57="",A57="DNS"),0,IF(A57="DNF",1,IF(ISNUMBER(A57),IF($I$2="J",IF(A57&lt;=11,VLOOKUP(A57,Punten!$A$2:$C$31,3,FALSE()),1),IF(A57&lt;=30,VLOOKUP(A57,Punten!$A$2:$C$31,2,FALSE()),1)),0))))</f>
        <v>0</v>
      </c>
    </row>
    <row r="58" spans="1:9" x14ac:dyDescent="0.25">
      <c r="A58" s="12"/>
      <c r="B58" s="13"/>
      <c r="C58" s="17"/>
      <c r="D58" s="13"/>
      <c r="E58" s="13"/>
      <c r="F58" s="13"/>
      <c r="G58" s="15"/>
      <c r="H58" s="15"/>
      <c r="I58" s="16">
        <f>IF(C58="",0,IF(OR(A58="",A58="DNS"),0,IF(A58="DNF",1,IF(ISNUMBER(A58),IF($I$2="J",IF(A58&lt;=11,VLOOKUP(A58,Punten!$A$2:$C$31,3,FALSE()),1),IF(A58&lt;=30,VLOOKUP(A58,Punten!$A$2:$C$31,2,FALSE()),1)),0))))</f>
        <v>0</v>
      </c>
    </row>
    <row r="59" spans="1:9" x14ac:dyDescent="0.25">
      <c r="A59" s="12"/>
      <c r="B59" s="13"/>
      <c r="C59" s="17"/>
      <c r="D59" s="13"/>
      <c r="E59" s="13"/>
      <c r="F59" s="13"/>
      <c r="G59" s="15"/>
      <c r="H59" s="15"/>
      <c r="I59" s="16">
        <f>IF(C59="",0,IF(OR(A59="",A59="DNS"),0,IF(A59="DNF",1,IF(ISNUMBER(A59),IF($I$2="J",IF(A59&lt;=11,VLOOKUP(A59,Punten!$A$2:$C$31,3,FALSE()),1),IF(A59&lt;=30,VLOOKUP(A59,Punten!$A$2:$C$31,2,FALSE()),1)),0))))</f>
        <v>0</v>
      </c>
    </row>
    <row r="60" spans="1:9" x14ac:dyDescent="0.25">
      <c r="A60" s="12"/>
      <c r="B60" s="13"/>
      <c r="C60" s="17"/>
      <c r="D60" s="13"/>
      <c r="E60" s="13"/>
      <c r="F60" s="13"/>
      <c r="G60" s="15"/>
      <c r="H60" s="15"/>
      <c r="I60" s="16">
        <f>IF(C60="",0,IF(OR(A60="",A60="DNS"),0,IF(A60="DNF",1,IF(ISNUMBER(A60),IF($I$2="J",IF(A60&lt;=11,VLOOKUP(A60,Punten!$A$2:$C$31,3,FALSE()),1),IF(A60&lt;=30,VLOOKUP(A60,Punten!$A$2:$C$31,2,FALSE()),1)),0))))</f>
        <v>0</v>
      </c>
    </row>
    <row r="61" spans="1:9" x14ac:dyDescent="0.25">
      <c r="A61" s="12"/>
      <c r="B61" s="13"/>
      <c r="C61" s="17"/>
      <c r="D61" s="13"/>
      <c r="E61" s="13"/>
      <c r="F61" s="13"/>
      <c r="G61" s="15"/>
      <c r="H61" s="15"/>
      <c r="I61" s="16">
        <f>IF(C61="",0,IF(OR(A61="",A61="DNS"),0,IF(A61="DNF",1,IF(ISNUMBER(A61),IF($I$2="J",IF(A61&lt;=11,VLOOKUP(A61,Punten!$A$2:$C$31,3,FALSE()),1),IF(A61&lt;=30,VLOOKUP(A61,Punten!$A$2:$C$31,2,FALSE()),1)),0))))</f>
        <v>0</v>
      </c>
    </row>
    <row r="62" spans="1:9" x14ac:dyDescent="0.25">
      <c r="A62" s="12"/>
      <c r="B62" s="13"/>
      <c r="C62" s="17"/>
      <c r="D62" s="13"/>
      <c r="E62" s="13"/>
      <c r="F62" s="13"/>
      <c r="G62" s="15"/>
      <c r="H62" s="15"/>
      <c r="I62" s="16">
        <f>IF(C62="",0,IF(OR(A62="",A62="DNS"),0,IF(A62="DNF",1,IF(ISNUMBER(A62),IF($I$2="J",IF(A62&lt;=11,VLOOKUP(A62,Punten!$A$2:$C$31,3,FALSE()),1),IF(A62&lt;=30,VLOOKUP(A62,Punten!$A$2:$C$31,2,FALSE()),1)),0))))</f>
        <v>0</v>
      </c>
    </row>
    <row r="63" spans="1:9" x14ac:dyDescent="0.25">
      <c r="A63" s="12"/>
      <c r="B63" s="13"/>
      <c r="C63" s="17"/>
      <c r="D63" s="13"/>
      <c r="E63" s="13"/>
      <c r="F63" s="13"/>
      <c r="G63" s="15"/>
      <c r="H63" s="15"/>
      <c r="I63" s="16">
        <f>IF(C63="",0,IF(OR(A63="",A63="DNS"),0,IF(A63="DNF",1,IF(ISNUMBER(A63),IF($I$2="J",IF(A63&lt;=11,VLOOKUP(A63,Punten!$A$2:$C$31,3,FALSE()),1),IF(A63&lt;=30,VLOOKUP(A63,Punten!$A$2:$C$31,2,FALSE()),1)),0))))</f>
        <v>0</v>
      </c>
    </row>
    <row r="64" spans="1:9" x14ac:dyDescent="0.25">
      <c r="A64" s="12"/>
      <c r="B64" s="13"/>
      <c r="C64" s="17"/>
      <c r="D64" s="13"/>
      <c r="E64" s="13"/>
      <c r="F64" s="13"/>
      <c r="G64" s="15"/>
      <c r="H64" s="15"/>
      <c r="I64" s="16">
        <f>IF(C64="",0,IF(OR(A64="",A64="DNS"),0,IF(A64="DNF",1,IF(ISNUMBER(A64),IF($I$2="J",IF(A64&lt;=11,VLOOKUP(A64,Punten!$A$2:$C$31,3,FALSE()),1),IF(A64&lt;=30,VLOOKUP(A64,Punten!$A$2:$C$31,2,FALSE()),1)),0))))</f>
        <v>0</v>
      </c>
    </row>
    <row r="65" spans="1:9" x14ac:dyDescent="0.25">
      <c r="A65" s="12"/>
      <c r="B65" s="13"/>
      <c r="C65" s="17"/>
      <c r="D65" s="13"/>
      <c r="E65" s="13"/>
      <c r="F65" s="13"/>
      <c r="G65" s="15"/>
      <c r="H65" s="15"/>
      <c r="I65" s="16">
        <f>IF(C65="",0,IF(OR(A65="",A65="DNS"),0,IF(A65="DNF",1,IF(ISNUMBER(A65),IF($I$2="J",IF(A65&lt;=11,VLOOKUP(A65,Punten!$A$2:$C$31,3,FALSE()),1),IF(A65&lt;=30,VLOOKUP(A65,Punten!$A$2:$C$31,2,FALSE()),1)),0))))</f>
        <v>0</v>
      </c>
    </row>
    <row r="66" spans="1:9" x14ac:dyDescent="0.25">
      <c r="A66" s="12"/>
      <c r="B66" s="13"/>
      <c r="C66" s="17"/>
      <c r="D66" s="13"/>
      <c r="E66" s="13"/>
      <c r="F66" s="13"/>
      <c r="G66" s="15"/>
      <c r="H66" s="15"/>
      <c r="I66" s="16">
        <f>IF(C66="",0,IF(OR(A66="",A66="DNS"),0,IF(A66="DNF",1,IF(ISNUMBER(A66),IF($I$2="J",IF(A66&lt;=11,VLOOKUP(A66,Punten!$A$2:$C$31,3,FALSE()),1),IF(A66&lt;=30,VLOOKUP(A66,Punten!$A$2:$C$31,2,FALSE()),1)),0))))</f>
        <v>0</v>
      </c>
    </row>
    <row r="67" spans="1:9" x14ac:dyDescent="0.25">
      <c r="A67" s="12"/>
      <c r="B67" s="13"/>
      <c r="C67" s="17"/>
      <c r="D67" s="13"/>
      <c r="E67" s="13"/>
      <c r="F67" s="13"/>
      <c r="G67" s="15"/>
      <c r="H67" s="15"/>
      <c r="I67" s="16">
        <f>IF(C67="",0,IF(OR(A67="",A67="DNS"),0,IF(A67="DNF",1,IF(ISNUMBER(A67),IF($I$2="J",IF(A67&lt;=11,VLOOKUP(A67,Punten!$A$2:$C$31,3,FALSE()),1),IF(A67&lt;=30,VLOOKUP(A67,Punten!$A$2:$C$31,2,FALSE()),1)),0))))</f>
        <v>0</v>
      </c>
    </row>
    <row r="68" spans="1:9" x14ac:dyDescent="0.25">
      <c r="A68" s="12"/>
      <c r="B68" s="13"/>
      <c r="C68" s="17"/>
      <c r="D68" s="13"/>
      <c r="E68" s="13"/>
      <c r="F68" s="13"/>
      <c r="G68" s="15"/>
      <c r="H68" s="15"/>
      <c r="I68" s="16">
        <f>IF(C68="",0,IF(OR(A68="",A68="DNS"),0,IF(A68="DNF",1,IF(ISNUMBER(A68),IF($I$2="J",IF(A68&lt;=11,VLOOKUP(A68,Punten!$A$2:$C$31,3,FALSE()),1),IF(A68&lt;=30,VLOOKUP(A68,Punten!$A$2:$C$31,2,FALSE()),1)),0))))</f>
        <v>0</v>
      </c>
    </row>
    <row r="69" spans="1:9" x14ac:dyDescent="0.25">
      <c r="A69" s="12"/>
      <c r="B69" s="13"/>
      <c r="C69" s="17"/>
      <c r="D69" s="13"/>
      <c r="E69" s="13"/>
      <c r="F69" s="13"/>
      <c r="G69" s="15"/>
      <c r="H69" s="15"/>
      <c r="I69" s="16">
        <f>IF(C69="",0,IF(OR(A69="",A69="DNS"),0,IF(A69="DNF",1,IF(ISNUMBER(A69),IF($I$2="J",IF(A69&lt;=11,VLOOKUP(A69,Punten!$A$2:$C$31,3,FALSE()),1),IF(A69&lt;=30,VLOOKUP(A69,Punten!$A$2:$C$31,2,FALSE()),1)),0))))</f>
        <v>0</v>
      </c>
    </row>
    <row r="70" spans="1:9" x14ac:dyDescent="0.25">
      <c r="A70" s="12"/>
      <c r="B70" s="13"/>
      <c r="C70" s="17"/>
      <c r="D70" s="13"/>
      <c r="E70" s="13"/>
      <c r="F70" s="13"/>
      <c r="G70" s="15"/>
      <c r="H70" s="15"/>
      <c r="I70" s="16">
        <f>IF(C70="",0,IF(OR(A70="",A70="DNS"),0,IF(A70="DNF",1,IF(ISNUMBER(A70),IF($I$2="J",IF(A70&lt;=11,VLOOKUP(A70,Punten!$A$2:$C$31,3,FALSE()),1),IF(A70&lt;=30,VLOOKUP(A70,Punten!$A$2:$C$31,2,FALSE()),1)),0))))</f>
        <v>0</v>
      </c>
    </row>
    <row r="71" spans="1:9" x14ac:dyDescent="0.25">
      <c r="A71" s="12"/>
      <c r="B71" s="13"/>
      <c r="C71" s="17"/>
      <c r="D71" s="13"/>
      <c r="E71" s="13"/>
      <c r="F71" s="13"/>
      <c r="G71" s="15"/>
      <c r="H71" s="15"/>
      <c r="I71" s="16">
        <f>IF(C71="",0,IF(OR(A71="",A71="DNS"),0,IF(A71="DNF",1,IF(ISNUMBER(A71),IF($I$2="J",IF(A71&lt;=11,VLOOKUP(A71,Punten!$A$2:$C$31,3,FALSE()),1),IF(A71&lt;=30,VLOOKUP(A71,Punten!$A$2:$C$31,2,FALSE()),1)),0))))</f>
        <v>0</v>
      </c>
    </row>
    <row r="72" spans="1:9" x14ac:dyDescent="0.25">
      <c r="A72" s="12"/>
      <c r="B72" s="13"/>
      <c r="C72" s="17"/>
      <c r="D72" s="13"/>
      <c r="E72" s="13"/>
      <c r="F72" s="13"/>
      <c r="G72" s="15"/>
      <c r="H72" s="15"/>
      <c r="I72" s="16">
        <f>IF(C72="",0,IF(OR(A72="",A72="DNS"),0,IF(A72="DNF",1,IF(ISNUMBER(A72),IF($I$2="J",IF(A72&lt;=11,VLOOKUP(A72,Punten!$A$2:$C$31,3,FALSE()),1),IF(A72&lt;=30,VLOOKUP(A72,Punten!$A$2:$C$31,2,FALSE()),1)),0))))</f>
        <v>0</v>
      </c>
    </row>
    <row r="73" spans="1:9" x14ac:dyDescent="0.25">
      <c r="A73" s="12"/>
      <c r="B73" s="13"/>
      <c r="C73" s="17"/>
      <c r="D73" s="13"/>
      <c r="E73" s="13"/>
      <c r="F73" s="13"/>
      <c r="G73" s="15"/>
      <c r="H73" s="15"/>
      <c r="I73" s="16">
        <f>IF(C73="",0,IF(OR(A73="",A73="DNS"),0,IF(A73="DNF",1,IF(ISNUMBER(A73),IF($I$2="J",IF(A73&lt;=11,VLOOKUP(A73,Punten!$A$2:$C$31,3,FALSE()),1),IF(A73&lt;=30,VLOOKUP(A73,Punten!$A$2:$C$31,2,FALSE()),1)),0))))</f>
        <v>0</v>
      </c>
    </row>
    <row r="74" spans="1:9" x14ac:dyDescent="0.25">
      <c r="A74" s="12"/>
      <c r="B74" s="13"/>
      <c r="C74" s="17"/>
      <c r="D74" s="13"/>
      <c r="E74" s="13"/>
      <c r="F74" s="13"/>
      <c r="G74" s="15"/>
      <c r="H74" s="15"/>
      <c r="I74" s="16">
        <f>IF(C74="",0,IF(OR(A74="",A74="DNS"),0,IF(A74="DNF",1,IF(ISNUMBER(A74),IF($I$2="J",IF(A74&lt;=11,VLOOKUP(A74,Punten!$A$2:$C$31,3,FALSE()),1),IF(A74&lt;=30,VLOOKUP(A74,Punten!$A$2:$C$31,2,FALSE()),1)),0))))</f>
        <v>0</v>
      </c>
    </row>
    <row r="75" spans="1:9" x14ac:dyDescent="0.25">
      <c r="A75" s="12"/>
      <c r="B75" s="13"/>
      <c r="C75" s="17"/>
      <c r="D75" s="13"/>
      <c r="E75" s="13"/>
      <c r="F75" s="13"/>
      <c r="G75" s="15"/>
      <c r="H75" s="15"/>
      <c r="I75" s="16">
        <f>IF(C75="",0,IF(OR(A75="",A75="DNS"),0,IF(A75="DNF",1,IF(ISNUMBER(A75),IF($I$2="J",IF(A75&lt;=11,VLOOKUP(A75,Punten!$A$2:$C$31,3,FALSE()),1),IF(A75&lt;=30,VLOOKUP(A75,Punten!$A$2:$C$31,2,FALSE()),1)),0))))</f>
        <v>0</v>
      </c>
    </row>
    <row r="76" spans="1:9" x14ac:dyDescent="0.25">
      <c r="A76" s="12"/>
      <c r="B76" s="13"/>
      <c r="C76" s="17"/>
      <c r="D76" s="13"/>
      <c r="E76" s="13"/>
      <c r="F76" s="13"/>
      <c r="G76" s="15"/>
      <c r="H76" s="15"/>
      <c r="I76" s="16">
        <f>IF(C76="",0,IF(OR(A76="",A76="DNS"),0,IF(A76="DNF",1,IF(ISNUMBER(A76),IF($I$2="J",IF(A76&lt;=11,VLOOKUP(A76,Punten!$A$2:$C$31,3,FALSE()),1),IF(A76&lt;=30,VLOOKUP(A76,Punten!$A$2:$C$31,2,FALSE()),1)),0))))</f>
        <v>0</v>
      </c>
    </row>
    <row r="77" spans="1:9" x14ac:dyDescent="0.25">
      <c r="A77" s="12"/>
      <c r="B77" s="13"/>
      <c r="C77" s="17"/>
      <c r="D77" s="13"/>
      <c r="E77" s="13"/>
      <c r="F77" s="13"/>
      <c r="G77" s="15"/>
      <c r="H77" s="15"/>
      <c r="I77" s="16">
        <f>IF(C77="",0,IF(OR(A77="",A77="DNS"),0,IF(A77="DNF",1,IF(ISNUMBER(A77),IF($I$2="J",IF(A77&lt;=11,VLOOKUP(A77,Punten!$A$2:$C$31,3,FALSE()),1),IF(A77&lt;=30,VLOOKUP(A77,Punten!$A$2:$C$31,2,FALSE()),1)),0))))</f>
        <v>0</v>
      </c>
    </row>
    <row r="78" spans="1:9" x14ac:dyDescent="0.25">
      <c r="A78" s="12"/>
      <c r="B78" s="13"/>
      <c r="C78" s="17"/>
      <c r="D78" s="13"/>
      <c r="E78" s="13"/>
      <c r="F78" s="13"/>
      <c r="G78" s="15"/>
      <c r="H78" s="15"/>
      <c r="I78" s="16">
        <f>IF(C78="",0,IF(OR(A78="",A78="DNS"),0,IF(A78="DNF",1,IF(ISNUMBER(A78),IF($I$2="J",IF(A78&lt;=11,VLOOKUP(A78,Punten!$A$2:$C$31,3,FALSE()),1),IF(A78&lt;=30,VLOOKUP(A78,Punten!$A$2:$C$31,2,FALSE()),1)),0))))</f>
        <v>0</v>
      </c>
    </row>
    <row r="79" spans="1:9" x14ac:dyDescent="0.25">
      <c r="A79" s="12"/>
      <c r="B79" s="13"/>
      <c r="C79" s="17"/>
      <c r="D79" s="13"/>
      <c r="E79" s="13"/>
      <c r="F79" s="13"/>
      <c r="G79" s="15"/>
      <c r="H79" s="15"/>
      <c r="I79" s="16">
        <f>IF(C79="",0,IF(OR(A79="",A79="DNS"),0,IF(A79="DNF",1,IF(ISNUMBER(A79),IF($I$2="J",IF(A79&lt;=11,VLOOKUP(A79,Punten!$A$2:$C$31,3,FALSE()),1),IF(A79&lt;=30,VLOOKUP(A79,Punten!$A$2:$C$31,2,FALSE()),1)),0))))</f>
        <v>0</v>
      </c>
    </row>
    <row r="80" spans="1:9" x14ac:dyDescent="0.25">
      <c r="A80" s="12"/>
      <c r="B80" s="13"/>
      <c r="C80" s="17"/>
      <c r="D80" s="13"/>
      <c r="E80" s="13"/>
      <c r="F80" s="13"/>
      <c r="G80" s="15"/>
      <c r="H80" s="15"/>
      <c r="I80" s="16">
        <f>IF(C80="",0,IF(OR(A80="",A80="DNS"),0,IF(A80="DNF",1,IF(ISNUMBER(A80),IF($I$2="J",IF(A80&lt;=11,VLOOKUP(A80,Punten!$A$2:$C$31,3,FALSE()),1),IF(A80&lt;=30,VLOOKUP(A80,Punten!$A$2:$C$31,2,FALSE()),1)),0))))</f>
        <v>0</v>
      </c>
    </row>
    <row r="81" spans="1:9" x14ac:dyDescent="0.25">
      <c r="A81" s="12"/>
      <c r="B81" s="13"/>
      <c r="C81" s="17"/>
      <c r="D81" s="13"/>
      <c r="E81" s="13"/>
      <c r="F81" s="13"/>
      <c r="G81" s="15"/>
      <c r="H81" s="15"/>
      <c r="I81" s="16">
        <f>IF(C81="",0,IF(OR(A81="",A81="DNS"),0,IF(A81="DNF",1,IF(ISNUMBER(A81),IF($I$2="J",IF(A81&lt;=11,VLOOKUP(A81,Punten!$A$2:$C$31,3,FALSE()),1),IF(A81&lt;=30,VLOOKUP(A81,Punten!$A$2:$C$31,2,FALSE()),1)),0))))</f>
        <v>0</v>
      </c>
    </row>
    <row r="82" spans="1:9" x14ac:dyDescent="0.25">
      <c r="A82" s="12"/>
      <c r="B82" s="13"/>
      <c r="C82" s="17"/>
      <c r="D82" s="13"/>
      <c r="E82" s="13"/>
      <c r="F82" s="13"/>
      <c r="G82" s="15"/>
      <c r="H82" s="15"/>
      <c r="I82" s="16">
        <f>IF(C82="",0,IF(OR(A82="",A82="DNS"),0,IF(A82="DNF",1,IF(ISNUMBER(A82),IF($I$2="J",IF(A82&lt;=11,VLOOKUP(A82,Punten!$A$2:$C$31,3,FALSE()),1),IF(A82&lt;=30,VLOOKUP(A82,Punten!$A$2:$C$31,2,FALSE()),1)),0))))</f>
        <v>0</v>
      </c>
    </row>
    <row r="83" spans="1:9" x14ac:dyDescent="0.25">
      <c r="A83" s="12"/>
      <c r="B83" s="13"/>
      <c r="C83" s="17"/>
      <c r="D83" s="13"/>
      <c r="E83" s="13"/>
      <c r="F83" s="13"/>
      <c r="G83" s="15"/>
      <c r="H83" s="15"/>
      <c r="I83" s="16">
        <f>IF(C83="",0,IF(OR(A83="",A83="DNS"),0,IF(A83="DNF",1,IF(ISNUMBER(A83),IF($I$2="J",IF(A83&lt;=11,VLOOKUP(A83,Punten!$A$2:$C$31,3,FALSE()),1),IF(A83&lt;=30,VLOOKUP(A83,Punten!$A$2:$C$31,2,FALSE()),1)),0))))</f>
        <v>0</v>
      </c>
    </row>
    <row r="84" spans="1:9" x14ac:dyDescent="0.25">
      <c r="A84" s="12"/>
      <c r="B84" s="13"/>
      <c r="C84" s="17"/>
      <c r="D84" s="13"/>
      <c r="E84" s="13"/>
      <c r="F84" s="13"/>
      <c r="G84" s="15"/>
      <c r="H84" s="15"/>
      <c r="I84" s="16">
        <f>IF(C84="",0,IF(OR(A84="",A84="DNS"),0,IF(A84="DNF",1,IF(ISNUMBER(A84),IF($I$2="J",IF(A84&lt;=11,VLOOKUP(A84,Punten!$A$2:$C$31,3,FALSE()),1),IF(A84&lt;=30,VLOOKUP(A84,Punten!$A$2:$C$31,2,FALSE()),1)),0))))</f>
        <v>0</v>
      </c>
    </row>
    <row r="85" spans="1:9" x14ac:dyDescent="0.25">
      <c r="A85" s="12"/>
      <c r="B85" s="13"/>
      <c r="C85" s="17"/>
      <c r="D85" s="13"/>
      <c r="E85" s="13"/>
      <c r="F85" s="13"/>
      <c r="G85" s="15"/>
      <c r="H85" s="15"/>
      <c r="I85" s="16">
        <f>IF(C85="",0,IF(OR(A85="",A85="DNS"),0,IF(A85="DNF",1,IF(ISNUMBER(A85),IF($I$2="J",IF(A85&lt;=11,VLOOKUP(A85,Punten!$A$2:$C$31,3,FALSE()),1),IF(A85&lt;=30,VLOOKUP(A85,Punten!$A$2:$C$31,2,FALSE()),1)),0))))</f>
        <v>0</v>
      </c>
    </row>
    <row r="86" spans="1:9" x14ac:dyDescent="0.25">
      <c r="A86" s="12"/>
      <c r="B86" s="13"/>
      <c r="C86" s="17"/>
      <c r="D86" s="13"/>
      <c r="E86" s="13"/>
      <c r="F86" s="13"/>
      <c r="G86" s="15"/>
      <c r="H86" s="15"/>
      <c r="I86" s="16">
        <f>IF(C86="",0,IF(OR(A86="",A86="DNS"),0,IF(A86="DNF",1,IF(ISNUMBER(A86),IF($I$2="J",IF(A86&lt;=11,VLOOKUP(A86,Punten!$A$2:$C$31,3,FALSE()),1),IF(A86&lt;=30,VLOOKUP(A86,Punten!$A$2:$C$31,2,FALSE()),1)),0))))</f>
        <v>0</v>
      </c>
    </row>
    <row r="87" spans="1:9" x14ac:dyDescent="0.25">
      <c r="A87" s="12"/>
      <c r="B87" s="13"/>
      <c r="C87" s="17"/>
      <c r="D87" s="13"/>
      <c r="E87" s="13"/>
      <c r="F87" s="13"/>
      <c r="G87" s="15"/>
      <c r="H87" s="15"/>
      <c r="I87" s="16">
        <f>IF(C87="",0,IF(OR(A87="",A87="DNS"),0,IF(A87="DNF",1,IF(ISNUMBER(A87),IF($I$2="J",IF(A87&lt;=11,VLOOKUP(A87,Punten!$A$2:$C$31,3,FALSE()),1),IF(A87&lt;=30,VLOOKUP(A87,Punten!$A$2:$C$31,2,FALSE()),1)),0))))</f>
        <v>0</v>
      </c>
    </row>
    <row r="88" spans="1:9" x14ac:dyDescent="0.25">
      <c r="A88" s="12"/>
      <c r="B88" s="13"/>
      <c r="C88" s="17"/>
      <c r="D88" s="13"/>
      <c r="E88" s="13"/>
      <c r="F88" s="13"/>
      <c r="G88" s="15"/>
      <c r="H88" s="15"/>
      <c r="I88" s="16">
        <f>IF(C88="",0,IF(OR(A88="",A88="DNS"),0,IF(A88="DNF",1,IF(ISNUMBER(A88),IF($I$2="J",IF(A88&lt;=11,VLOOKUP(A88,Punten!$A$2:$C$31,3,FALSE()),1),IF(A88&lt;=30,VLOOKUP(A88,Punten!$A$2:$C$31,2,FALSE()),1)),0))))</f>
        <v>0</v>
      </c>
    </row>
    <row r="89" spans="1:9" x14ac:dyDescent="0.25">
      <c r="A89" s="12"/>
      <c r="B89" s="13"/>
      <c r="C89" s="17"/>
      <c r="D89" s="13"/>
      <c r="E89" s="13"/>
      <c r="F89" s="13"/>
      <c r="G89" s="15"/>
      <c r="H89" s="15"/>
      <c r="I89" s="16">
        <f>IF(C89="",0,IF(OR(A89="",A89="DNS"),0,IF(A89="DNF",1,IF(ISNUMBER(A89),IF($I$2="J",IF(A89&lt;=11,VLOOKUP(A89,Punten!$A$2:$C$31,3,FALSE()),1),IF(A89&lt;=30,VLOOKUP(A89,Punten!$A$2:$C$31,2,FALSE()),1)),0))))</f>
        <v>0</v>
      </c>
    </row>
    <row r="90" spans="1:9" x14ac:dyDescent="0.25">
      <c r="A90" s="12"/>
      <c r="B90" s="13"/>
      <c r="C90" s="17"/>
      <c r="D90" s="13"/>
      <c r="E90" s="13"/>
      <c r="F90" s="13"/>
      <c r="G90" s="15"/>
      <c r="H90" s="15"/>
      <c r="I90" s="16">
        <f>IF(C90="",0,IF(OR(A90="",A90="DNS"),0,IF(A90="DNF",1,IF(ISNUMBER(A90),IF($I$2="J",IF(A90&lt;=11,VLOOKUP(A90,Punten!$A$2:$C$31,3,FALSE()),1),IF(A90&lt;=30,VLOOKUP(A90,Punten!$A$2:$C$31,2,FALSE()),1)),0))))</f>
        <v>0</v>
      </c>
    </row>
    <row r="91" spans="1:9" x14ac:dyDescent="0.25">
      <c r="A91" s="12"/>
      <c r="B91" s="13"/>
      <c r="C91" s="17"/>
      <c r="D91" s="13"/>
      <c r="E91" s="13"/>
      <c r="F91" s="13"/>
      <c r="G91" s="15"/>
      <c r="H91" s="15"/>
      <c r="I91" s="16">
        <f>IF(C91="",0,IF(OR(A91="",A91="DNS"),0,IF(A91="DNF",1,IF(ISNUMBER(A91),IF($I$2="J",IF(A91&lt;=11,VLOOKUP(A91,Punten!$A$2:$C$31,3,FALSE()),1),IF(A91&lt;=30,VLOOKUP(A91,Punten!$A$2:$C$31,2,FALSE()),1)),0))))</f>
        <v>0</v>
      </c>
    </row>
    <row r="92" spans="1:9" x14ac:dyDescent="0.25">
      <c r="A92" s="12"/>
      <c r="B92" s="13"/>
      <c r="C92" s="17"/>
      <c r="D92" s="13"/>
      <c r="E92" s="13"/>
      <c r="F92" s="13"/>
      <c r="G92" s="15"/>
      <c r="H92" s="15"/>
      <c r="I92" s="16">
        <f>IF(C92="",0,IF(OR(A92="",A92="DNS"),0,IF(A92="DNF",1,IF(ISNUMBER(A92),IF($I$2="J",IF(A92&lt;=11,VLOOKUP(A92,Punten!$A$2:$C$31,3,FALSE()),1),IF(A92&lt;=30,VLOOKUP(A92,Punten!$A$2:$C$31,2,FALSE()),1)),0))))</f>
        <v>0</v>
      </c>
    </row>
    <row r="93" spans="1:9" x14ac:dyDescent="0.25">
      <c r="A93" s="12"/>
      <c r="B93" s="13"/>
      <c r="C93" s="17"/>
      <c r="D93" s="13"/>
      <c r="E93" s="13"/>
      <c r="F93" s="13"/>
      <c r="G93" s="15"/>
      <c r="H93" s="15"/>
      <c r="I93" s="16">
        <f>IF(C93="",0,IF(OR(A93="",A93="DNS"),0,IF(A93="DNF",1,IF(ISNUMBER(A93),IF($I$2="J",IF(A93&lt;=11,VLOOKUP(A93,Punten!$A$2:$C$31,3,FALSE()),1),IF(A93&lt;=30,VLOOKUP(A93,Punten!$A$2:$C$31,2,FALSE()),1)),0))))</f>
        <v>0</v>
      </c>
    </row>
    <row r="94" spans="1:9" x14ac:dyDescent="0.25">
      <c r="A94" s="12"/>
      <c r="B94" s="13"/>
      <c r="C94" s="17"/>
      <c r="D94" s="13"/>
      <c r="E94" s="13"/>
      <c r="F94" s="13"/>
      <c r="G94" s="15"/>
      <c r="H94" s="15"/>
      <c r="I94" s="16">
        <f>IF(C94="",0,IF(OR(A94="",A94="DNS"),0,IF(A94="DNF",1,IF(ISNUMBER(A94),IF($I$2="J",IF(A94&lt;=11,VLOOKUP(A94,Punten!$A$2:$C$31,3,FALSE()),1),IF(A94&lt;=30,VLOOKUP(A94,Punten!$A$2:$C$31,2,FALSE()),1)),0))))</f>
        <v>0</v>
      </c>
    </row>
    <row r="95" spans="1:9" x14ac:dyDescent="0.25">
      <c r="A95" s="12"/>
      <c r="B95" s="13"/>
      <c r="C95" s="17"/>
      <c r="D95" s="13"/>
      <c r="E95" s="13"/>
      <c r="F95" s="13"/>
      <c r="G95" s="15"/>
      <c r="H95" s="15"/>
      <c r="I95" s="16">
        <f>IF(C95="",0,IF(OR(A95="",A95="DNS"),0,IF(A95="DNF",1,IF(ISNUMBER(A95),IF($I$2="J",IF(A95&lt;=11,VLOOKUP(A95,Punten!$A$2:$C$31,3,FALSE()),1),IF(A95&lt;=30,VLOOKUP(A95,Punten!$A$2:$C$31,2,FALSE()),1)),0))))</f>
        <v>0</v>
      </c>
    </row>
    <row r="96" spans="1:9" x14ac:dyDescent="0.25">
      <c r="A96" s="12"/>
      <c r="B96" s="13"/>
      <c r="C96" s="17"/>
      <c r="D96" s="13"/>
      <c r="E96" s="13"/>
      <c r="F96" s="13"/>
      <c r="G96" s="15"/>
      <c r="H96" s="15"/>
      <c r="I96" s="16">
        <f>IF(C96="",0,IF(OR(A96="",A96="DNS"),0,IF(A96="DNF",1,IF(ISNUMBER(A96),IF($I$2="J",IF(A96&lt;=11,VLOOKUP(A96,Punten!$A$2:$C$31,3,FALSE()),1),IF(A96&lt;=30,VLOOKUP(A96,Punten!$A$2:$C$31,2,FALSE()),1)),0))))</f>
        <v>0</v>
      </c>
    </row>
    <row r="97" spans="1:9" x14ac:dyDescent="0.25">
      <c r="A97" s="12"/>
      <c r="B97" s="13"/>
      <c r="C97" s="17"/>
      <c r="D97" s="13"/>
      <c r="E97" s="13"/>
      <c r="F97" s="13"/>
      <c r="G97" s="15"/>
      <c r="H97" s="15"/>
      <c r="I97" s="16">
        <f>IF(C97="",0,IF(OR(A97="",A97="DNS"),0,IF(A97="DNF",1,IF(ISNUMBER(A97),IF($I$2="J",IF(A97&lt;=11,VLOOKUP(A97,Punten!$A$2:$C$31,3,FALSE()),1),IF(A97&lt;=30,VLOOKUP(A97,Punten!$A$2:$C$31,2,FALSE()),1)),0))))</f>
        <v>0</v>
      </c>
    </row>
    <row r="98" spans="1:9" x14ac:dyDescent="0.25">
      <c r="A98" s="12"/>
      <c r="B98" s="13"/>
      <c r="C98" s="17"/>
      <c r="D98" s="13"/>
      <c r="E98" s="13"/>
      <c r="F98" s="13"/>
      <c r="G98" s="15"/>
      <c r="H98" s="15"/>
      <c r="I98" s="16">
        <f>IF(C98="",0,IF(OR(A98="",A98="DNS"),0,IF(A98="DNF",1,IF(ISNUMBER(A98),IF($I$2="J",IF(A98&lt;=11,VLOOKUP(A98,Punten!$A$2:$C$31,3,FALSE()),1),IF(A98&lt;=30,VLOOKUP(A98,Punten!$A$2:$C$31,2,FALSE()),1)),0))))</f>
        <v>0</v>
      </c>
    </row>
    <row r="99" spans="1:9" x14ac:dyDescent="0.25">
      <c r="A99" s="12"/>
      <c r="B99" s="13"/>
      <c r="C99" s="17"/>
      <c r="D99" s="13"/>
      <c r="E99" s="13"/>
      <c r="F99" s="13"/>
      <c r="G99" s="15"/>
      <c r="H99" s="15"/>
      <c r="I99" s="16">
        <f>IF(C99="",0,IF(OR(A99="",A99="DNS"),0,IF(A99="DNF",1,IF(ISNUMBER(A99),IF($I$2="J",IF(A99&lt;=11,VLOOKUP(A99,Punten!$A$2:$C$31,3,FALSE()),1),IF(A99&lt;=30,VLOOKUP(A99,Punten!$A$2:$C$31,2,FALSE()),1)),0))))</f>
        <v>0</v>
      </c>
    </row>
    <row r="100" spans="1:9" x14ac:dyDescent="0.25">
      <c r="A100" s="12"/>
      <c r="B100" s="13"/>
      <c r="C100" s="17"/>
      <c r="D100" s="13"/>
      <c r="E100" s="13"/>
      <c r="F100" s="13"/>
      <c r="G100" s="15"/>
      <c r="H100" s="15"/>
      <c r="I100" s="16">
        <f>IF(C100="",0,IF(OR(A100="",A100="DNS"),0,IF(A100="DNF",1,IF(ISNUMBER(A100),IF($I$2="J",IF(A100&lt;=11,VLOOKUP(A100,Punten!$A$2:$C$31,3,FALSE()),1),IF(A100&lt;=30,VLOOKUP(A100,Punten!$A$2:$C$31,2,FALSE()),1)),0))))</f>
        <v>0</v>
      </c>
    </row>
    <row r="101" spans="1:9" x14ac:dyDescent="0.25">
      <c r="A101" s="12"/>
      <c r="B101" s="13"/>
      <c r="C101" s="17"/>
      <c r="D101" s="13"/>
      <c r="E101" s="13"/>
      <c r="F101" s="13"/>
      <c r="G101" s="15"/>
      <c r="H101" s="15"/>
      <c r="I101" s="16">
        <f>IF(C101="",0,IF(OR(A101="",A101="DNS"),0,IF(A101="DNF",1,IF(ISNUMBER(A101),IF($I$2="J",IF(A101&lt;=11,VLOOKUP(A101,Punten!$A$2:$C$31,3,FALSE()),1),IF(A101&lt;=30,VLOOKUP(A101,Punten!$A$2:$C$31,2,FALSE()),1)),0))))</f>
        <v>0</v>
      </c>
    </row>
    <row r="102" spans="1:9" x14ac:dyDescent="0.25">
      <c r="A102" s="12"/>
      <c r="B102" s="13"/>
      <c r="C102" s="17"/>
      <c r="D102" s="13"/>
      <c r="E102" s="13"/>
      <c r="F102" s="13"/>
      <c r="G102" s="15"/>
      <c r="H102" s="15"/>
      <c r="I102" s="16">
        <f>IF(C102="",0,IF(OR(A102="",A102="DNS"),0,IF(A102="DNF",1,IF(ISNUMBER(A102),IF($I$2="J",IF(A102&lt;=11,VLOOKUP(A102,Punten!$A$2:$C$31,3,FALSE()),1),IF(A102&lt;=30,VLOOKUP(A102,Punten!$A$2:$C$31,2,FALSE()),1)),0))))</f>
        <v>0</v>
      </c>
    </row>
    <row r="103" spans="1:9" x14ac:dyDescent="0.25">
      <c r="A103" s="12"/>
      <c r="B103" s="13"/>
      <c r="C103" s="17"/>
      <c r="D103" s="13"/>
      <c r="E103" s="13"/>
      <c r="F103" s="13"/>
      <c r="G103" s="15"/>
      <c r="H103" s="15"/>
      <c r="I103" s="16">
        <f>IF(C103="",0,IF(OR(A103="",A103="DNS"),0,IF(A103="DNF",1,IF(ISNUMBER(A103),IF($I$2="J",IF(A103&lt;=11,VLOOKUP(A103,Punten!$A$2:$C$31,3,FALSE()),1),IF(A103&lt;=30,VLOOKUP(A103,Punten!$A$2:$C$31,2,FALSE()),1)),0))))</f>
        <v>0</v>
      </c>
    </row>
    <row r="105" spans="1:9" ht="16.5" customHeight="1" x14ac:dyDescent="0.25">
      <c r="A105" s="7" t="s">
        <v>67</v>
      </c>
      <c r="B105" s="8"/>
      <c r="C105" s="8"/>
      <c r="D105" s="8"/>
      <c r="E105" s="8"/>
      <c r="F105" s="8"/>
      <c r="G105" s="8"/>
      <c r="H105" s="9" t="s">
        <v>23</v>
      </c>
      <c r="I105" s="10" t="s">
        <v>24</v>
      </c>
    </row>
    <row r="106" spans="1:9" x14ac:dyDescent="0.25">
      <c r="A106" s="11" t="s">
        <v>25</v>
      </c>
      <c r="B106" s="11" t="s">
        <v>26</v>
      </c>
      <c r="C106" s="11" t="s">
        <v>27</v>
      </c>
      <c r="D106" s="11" t="s">
        <v>98</v>
      </c>
      <c r="E106" s="11" t="s">
        <v>28</v>
      </c>
      <c r="F106" s="11" t="s">
        <v>29</v>
      </c>
      <c r="G106" s="11" t="s">
        <v>30</v>
      </c>
      <c r="H106" s="11" t="s">
        <v>31</v>
      </c>
      <c r="I106" s="11" t="s">
        <v>32</v>
      </c>
    </row>
    <row r="107" spans="1:9" x14ac:dyDescent="0.25">
      <c r="A107" s="12"/>
      <c r="B107" s="13"/>
      <c r="C107" s="17"/>
      <c r="D107" s="13"/>
      <c r="E107" s="13"/>
      <c r="F107" s="13"/>
      <c r="G107" s="15"/>
      <c r="H107" s="15"/>
      <c r="I107" s="16">
        <f>IF(C107="",0,IF(OR(A107="",A107="DNS"),0,IF(A107="DNF",1,IF(ISNUMBER(A107),IF($I$105="J",IF(A107&lt;=11,VLOOKUP(A107,Punten!$A$2:$C$31,3,FALSE()),1),IF(A107&lt;=30,VLOOKUP(A107,Punten!$A$2:$C$31,2,FALSE()),1)),0))))</f>
        <v>0</v>
      </c>
    </row>
    <row r="108" spans="1:9" x14ac:dyDescent="0.25">
      <c r="A108" s="12"/>
      <c r="B108" s="13"/>
      <c r="C108" s="17"/>
      <c r="D108" s="13"/>
      <c r="E108" s="13"/>
      <c r="F108" s="13"/>
      <c r="G108" s="15"/>
      <c r="H108" s="15"/>
      <c r="I108" s="16">
        <f>IF(C108="",0,IF(OR(A108="",A108="DNS"),0,IF(A108="DNF",1,IF(ISNUMBER(A108),IF($I$105="J",IF(A108&lt;=11,VLOOKUP(A108,Punten!$A$2:$C$31,3,FALSE()),1),IF(A108&lt;=30,VLOOKUP(A108,Punten!$A$2:$C$31,2,FALSE()),1)),0))))</f>
        <v>0</v>
      </c>
    </row>
    <row r="109" spans="1:9" x14ac:dyDescent="0.25">
      <c r="A109" s="12"/>
      <c r="B109" s="13"/>
      <c r="C109" s="17"/>
      <c r="D109" s="13"/>
      <c r="E109" s="13"/>
      <c r="F109" s="13"/>
      <c r="G109" s="15"/>
      <c r="H109" s="15"/>
      <c r="I109" s="16">
        <f>IF(C109="",0,IF(OR(A109="",A109="DNS"),0,IF(A109="DNF",1,IF(ISNUMBER(A109),IF($I$105="J",IF(A109&lt;=11,VLOOKUP(A109,Punten!$A$2:$C$31,3,FALSE()),1),IF(A109&lt;=30,VLOOKUP(A109,Punten!$A$2:$C$31,2,FALSE()),1)),0))))</f>
        <v>0</v>
      </c>
    </row>
    <row r="110" spans="1:9" x14ac:dyDescent="0.25">
      <c r="A110" s="12"/>
      <c r="B110" s="13"/>
      <c r="C110" s="17"/>
      <c r="D110" s="13"/>
      <c r="E110" s="13"/>
      <c r="F110" s="13"/>
      <c r="G110" s="15"/>
      <c r="H110" s="15"/>
      <c r="I110" s="16">
        <f>IF(C110="",0,IF(OR(A110="",A110="DNS"),0,IF(A110="DNF",1,IF(ISNUMBER(A110),IF($I$105="J",IF(A110&lt;=11,VLOOKUP(A110,Punten!$A$2:$C$31,3,FALSE()),1),IF(A110&lt;=30,VLOOKUP(A110,Punten!$A$2:$C$31,2,FALSE()),1)),0))))</f>
        <v>0</v>
      </c>
    </row>
    <row r="111" spans="1:9" x14ac:dyDescent="0.25">
      <c r="A111" s="12"/>
      <c r="B111" s="13"/>
      <c r="C111" s="17"/>
      <c r="D111" s="13"/>
      <c r="E111" s="13"/>
      <c r="F111" s="13"/>
      <c r="G111" s="15"/>
      <c r="H111" s="15"/>
      <c r="I111" s="16">
        <f>IF(C111="",0,IF(OR(A111="",A111="DNS"),0,IF(A111="DNF",1,IF(ISNUMBER(A111),IF($I$105="J",IF(A111&lt;=11,VLOOKUP(A111,Punten!$A$2:$C$31,3,FALSE()),1),IF(A111&lt;=30,VLOOKUP(A111,Punten!$A$2:$C$31,2,FALSE()),1)),0))))</f>
        <v>0</v>
      </c>
    </row>
    <row r="112" spans="1:9" x14ac:dyDescent="0.25">
      <c r="A112" s="12"/>
      <c r="B112" s="13"/>
      <c r="C112" s="17"/>
      <c r="D112" s="13"/>
      <c r="E112" s="13"/>
      <c r="F112" s="13"/>
      <c r="G112" s="15"/>
      <c r="H112" s="15"/>
      <c r="I112" s="16">
        <f>IF(C112="",0,IF(OR(A112="",A112="DNS"),0,IF(A112="DNF",1,IF(ISNUMBER(A112),IF($I$105="J",IF(A112&lt;=11,VLOOKUP(A112,Punten!$A$2:$C$31,3,FALSE()),1),IF(A112&lt;=30,VLOOKUP(A112,Punten!$A$2:$C$31,2,FALSE()),1)),0))))</f>
        <v>0</v>
      </c>
    </row>
    <row r="113" spans="1:9" x14ac:dyDescent="0.25">
      <c r="A113" s="12"/>
      <c r="B113" s="13"/>
      <c r="C113" s="17"/>
      <c r="D113" s="13"/>
      <c r="E113" s="13"/>
      <c r="F113" s="13"/>
      <c r="G113" s="15"/>
      <c r="H113" s="15"/>
      <c r="I113" s="16">
        <f>IF(C113="",0,IF(OR(A113="",A113="DNS"),0,IF(A113="DNF",1,IF(ISNUMBER(A113),IF($I$105="J",IF(A113&lt;=11,VLOOKUP(A113,Punten!$A$2:$C$31,3,FALSE()),1),IF(A113&lt;=30,VLOOKUP(A113,Punten!$A$2:$C$31,2,FALSE()),1)),0))))</f>
        <v>0</v>
      </c>
    </row>
    <row r="114" spans="1:9" x14ac:dyDescent="0.25">
      <c r="A114" s="12"/>
      <c r="B114" s="13"/>
      <c r="C114" s="17"/>
      <c r="D114" s="13"/>
      <c r="E114" s="13"/>
      <c r="F114" s="13"/>
      <c r="G114" s="15"/>
      <c r="H114" s="15"/>
      <c r="I114" s="16">
        <f>IF(C114="",0,IF(OR(A114="",A114="DNS"),0,IF(A114="DNF",1,IF(ISNUMBER(A114),IF($I$105="J",IF(A114&lt;=11,VLOOKUP(A114,Punten!$A$2:$C$31,3,FALSE()),1),IF(A114&lt;=30,VLOOKUP(A114,Punten!$A$2:$C$31,2,FALSE()),1)),0))))</f>
        <v>0</v>
      </c>
    </row>
    <row r="115" spans="1:9" x14ac:dyDescent="0.25">
      <c r="A115" s="12"/>
      <c r="B115" s="13"/>
      <c r="C115" s="17"/>
      <c r="D115" s="13"/>
      <c r="E115" s="13"/>
      <c r="F115" s="13"/>
      <c r="G115" s="15"/>
      <c r="H115" s="15"/>
      <c r="I115" s="16">
        <f>IF(C115="",0,IF(OR(A115="",A115="DNS"),0,IF(A115="DNF",1,IF(ISNUMBER(A115),IF($I$105="J",IF(A115&lt;=11,VLOOKUP(A115,Punten!$A$2:$C$31,3,FALSE()),1),IF(A115&lt;=30,VLOOKUP(A115,Punten!$A$2:$C$31,2,FALSE()),1)),0))))</f>
        <v>0</v>
      </c>
    </row>
    <row r="116" spans="1:9" x14ac:dyDescent="0.25">
      <c r="A116" s="12"/>
      <c r="B116" s="13"/>
      <c r="C116" s="17"/>
      <c r="D116" s="13"/>
      <c r="E116" s="13"/>
      <c r="F116" s="13"/>
      <c r="G116" s="15"/>
      <c r="H116" s="15"/>
      <c r="I116" s="16">
        <f>IF(C116="",0,IF(OR(A116="",A116="DNS"),0,IF(A116="DNF",1,IF(ISNUMBER(A116),IF($I$105="J",IF(A116&lt;=11,VLOOKUP(A116,Punten!$A$2:$C$31,3,FALSE()),1),IF(A116&lt;=30,VLOOKUP(A116,Punten!$A$2:$C$31,2,FALSE()),1)),0))))</f>
        <v>0</v>
      </c>
    </row>
    <row r="117" spans="1:9" x14ac:dyDescent="0.25">
      <c r="A117" s="12"/>
      <c r="B117" s="13"/>
      <c r="C117" s="17"/>
      <c r="D117" s="13"/>
      <c r="E117" s="13"/>
      <c r="F117" s="13"/>
      <c r="G117" s="15"/>
      <c r="H117" s="15"/>
      <c r="I117" s="16">
        <f>IF(C117="",0,IF(OR(A117="",A117="DNS"),0,IF(A117="DNF",1,IF(ISNUMBER(A117),IF($I$105="J",IF(A117&lt;=11,VLOOKUP(A117,Punten!$A$2:$C$31,3,FALSE()),1),IF(A117&lt;=30,VLOOKUP(A117,Punten!$A$2:$C$31,2,FALSE()),1)),0))))</f>
        <v>0</v>
      </c>
    </row>
    <row r="118" spans="1:9" x14ac:dyDescent="0.25">
      <c r="A118" s="12"/>
      <c r="B118" s="13"/>
      <c r="C118" s="17"/>
      <c r="D118" s="13"/>
      <c r="E118" s="13"/>
      <c r="F118" s="13"/>
      <c r="G118" s="15"/>
      <c r="H118" s="15"/>
      <c r="I118" s="16">
        <f>IF(C118="",0,IF(OR(A118="",A118="DNS"),0,IF(A118="DNF",1,IF(ISNUMBER(A118),IF($I$105="J",IF(A118&lt;=11,VLOOKUP(A118,Punten!$A$2:$C$31,3,FALSE()),1),IF(A118&lt;=30,VLOOKUP(A118,Punten!$A$2:$C$31,2,FALSE()),1)),0))))</f>
        <v>0</v>
      </c>
    </row>
    <row r="119" spans="1:9" x14ac:dyDescent="0.25">
      <c r="A119" s="12"/>
      <c r="B119" s="13"/>
      <c r="C119" s="17"/>
      <c r="D119" s="13"/>
      <c r="E119" s="13"/>
      <c r="F119" s="13"/>
      <c r="G119" s="15"/>
      <c r="H119" s="15"/>
      <c r="I119" s="16">
        <f>IF(C119="",0,IF(OR(A119="",A119="DNS"),0,IF(A119="DNF",1,IF(ISNUMBER(A119),IF($I$105="J",IF(A119&lt;=11,VLOOKUP(A119,Punten!$A$2:$C$31,3,FALSE()),1),IF(A119&lt;=30,VLOOKUP(A119,Punten!$A$2:$C$31,2,FALSE()),1)),0))))</f>
        <v>0</v>
      </c>
    </row>
    <row r="120" spans="1:9" x14ac:dyDescent="0.25">
      <c r="A120" s="12"/>
      <c r="B120" s="13"/>
      <c r="C120" s="17"/>
      <c r="D120" s="13"/>
      <c r="E120" s="13"/>
      <c r="F120" s="13"/>
      <c r="G120" s="15"/>
      <c r="H120" s="15"/>
      <c r="I120" s="16">
        <f>IF(C120="",0,IF(OR(A120="",A120="DNS"),0,IF(A120="DNF",1,IF(ISNUMBER(A120),IF($I$105="J",IF(A120&lt;=11,VLOOKUP(A120,Punten!$A$2:$C$31,3,FALSE()),1),IF(A120&lt;=30,VLOOKUP(A120,Punten!$A$2:$C$31,2,FALSE()),1)),0))))</f>
        <v>0</v>
      </c>
    </row>
    <row r="121" spans="1:9" x14ac:dyDescent="0.25">
      <c r="A121" s="12"/>
      <c r="B121" s="13"/>
      <c r="C121" s="17"/>
      <c r="D121" s="13"/>
      <c r="E121" s="13"/>
      <c r="F121" s="13"/>
      <c r="G121" s="15"/>
      <c r="H121" s="15"/>
      <c r="I121" s="16">
        <f>IF(C121="",0,IF(OR(A121="",A121="DNS"),0,IF(A121="DNF",1,IF(ISNUMBER(A121),IF($I$105="J",IF(A121&lt;=11,VLOOKUP(A121,Punten!$A$2:$C$31,3,FALSE()),1),IF(A121&lt;=30,VLOOKUP(A121,Punten!$A$2:$C$31,2,FALSE()),1)),0))))</f>
        <v>0</v>
      </c>
    </row>
    <row r="122" spans="1:9" x14ac:dyDescent="0.25">
      <c r="A122" s="12"/>
      <c r="B122" s="13"/>
      <c r="C122" s="17"/>
      <c r="D122" s="13"/>
      <c r="E122" s="13"/>
      <c r="F122" s="13"/>
      <c r="G122" s="15"/>
      <c r="H122" s="15"/>
      <c r="I122" s="16">
        <f>IF(C122="",0,IF(OR(A122="",A122="DNS"),0,IF(A122="DNF",1,IF(ISNUMBER(A122),IF($I$105="J",IF(A122&lt;=11,VLOOKUP(A122,Punten!$A$2:$C$31,3,FALSE()),1),IF(A122&lt;=30,VLOOKUP(A122,Punten!$A$2:$C$31,2,FALSE()),1)),0))))</f>
        <v>0</v>
      </c>
    </row>
    <row r="123" spans="1:9" x14ac:dyDescent="0.25">
      <c r="A123" s="12"/>
      <c r="B123" s="13"/>
      <c r="C123" s="17"/>
      <c r="D123" s="13"/>
      <c r="E123" s="13"/>
      <c r="F123" s="13"/>
      <c r="G123" s="15"/>
      <c r="H123" s="15"/>
      <c r="I123" s="16">
        <f>IF(C123="",0,IF(OR(A123="",A123="DNS"),0,IF(A123="DNF",1,IF(ISNUMBER(A123),IF($I$105="J",IF(A123&lt;=11,VLOOKUP(A123,Punten!$A$2:$C$31,3,FALSE()),1),IF(A123&lt;=30,VLOOKUP(A123,Punten!$A$2:$C$31,2,FALSE()),1)),0))))</f>
        <v>0</v>
      </c>
    </row>
    <row r="124" spans="1:9" x14ac:dyDescent="0.25">
      <c r="A124" s="12"/>
      <c r="B124" s="13"/>
      <c r="C124" s="17"/>
      <c r="D124" s="13"/>
      <c r="E124" s="13"/>
      <c r="F124" s="13"/>
      <c r="G124" s="15"/>
      <c r="H124" s="15"/>
      <c r="I124" s="16">
        <f>IF(C124="",0,IF(OR(A124="",A124="DNS"),0,IF(A124="DNF",1,IF(ISNUMBER(A124),IF($I$105="J",IF(A124&lt;=11,VLOOKUP(A124,Punten!$A$2:$C$31,3,FALSE()),1),IF(A124&lt;=30,VLOOKUP(A124,Punten!$A$2:$C$31,2,FALSE()),1)),0))))</f>
        <v>0</v>
      </c>
    </row>
    <row r="125" spans="1:9" x14ac:dyDescent="0.25">
      <c r="A125" s="12"/>
      <c r="B125" s="13"/>
      <c r="C125" s="17"/>
      <c r="D125" s="13"/>
      <c r="E125" s="13"/>
      <c r="F125" s="13"/>
      <c r="G125" s="15"/>
      <c r="H125" s="15"/>
      <c r="I125" s="16">
        <f>IF(C125="",0,IF(OR(A125="",A125="DNS"),0,IF(A125="DNF",1,IF(ISNUMBER(A125),IF($I$105="J",IF(A125&lt;=11,VLOOKUP(A125,Punten!$A$2:$C$31,3,FALSE()),1),IF(A125&lt;=30,VLOOKUP(A125,Punten!$A$2:$C$31,2,FALSE()),1)),0))))</f>
        <v>0</v>
      </c>
    </row>
    <row r="126" spans="1:9" x14ac:dyDescent="0.25">
      <c r="A126" s="12"/>
      <c r="B126" s="13"/>
      <c r="C126" s="17"/>
      <c r="D126" s="13"/>
      <c r="E126" s="13"/>
      <c r="F126" s="13"/>
      <c r="G126" s="15"/>
      <c r="H126" s="15"/>
      <c r="I126" s="16">
        <f>IF(C126="",0,IF(OR(A126="",A126="DNS"),0,IF(A126="DNF",1,IF(ISNUMBER(A126),IF($I$105="J",IF(A126&lt;=11,VLOOKUP(A126,Punten!$A$2:$C$31,3,FALSE()),1),IF(A126&lt;=30,VLOOKUP(A126,Punten!$A$2:$C$31,2,FALSE()),1)),0))))</f>
        <v>0</v>
      </c>
    </row>
    <row r="127" spans="1:9" x14ac:dyDescent="0.25">
      <c r="A127" s="12"/>
      <c r="B127" s="13"/>
      <c r="C127" s="17"/>
      <c r="D127" s="13"/>
      <c r="E127" s="13"/>
      <c r="F127" s="13"/>
      <c r="G127" s="15"/>
      <c r="H127" s="15"/>
      <c r="I127" s="16">
        <f>IF(C127="",0,IF(OR(A127="",A127="DNS"),0,IF(A127="DNF",1,IF(ISNUMBER(A127),IF($I$105="J",IF(A127&lt;=11,VLOOKUP(A127,Punten!$A$2:$C$31,3,FALSE()),1),IF(A127&lt;=30,VLOOKUP(A127,Punten!$A$2:$C$31,2,FALSE()),1)),0))))</f>
        <v>0</v>
      </c>
    </row>
    <row r="128" spans="1:9" x14ac:dyDescent="0.25">
      <c r="A128" s="12"/>
      <c r="B128" s="13"/>
      <c r="C128" s="17"/>
      <c r="D128" s="13"/>
      <c r="E128" s="13"/>
      <c r="F128" s="13"/>
      <c r="G128" s="15"/>
      <c r="H128" s="15"/>
      <c r="I128" s="16">
        <f>IF(C128="",0,IF(OR(A128="",A128="DNS"),0,IF(A128="DNF",1,IF(ISNUMBER(A128),IF($I$105="J",IF(A128&lt;=11,VLOOKUP(A128,Punten!$A$2:$C$31,3,FALSE()),1),IF(A128&lt;=30,VLOOKUP(A128,Punten!$A$2:$C$31,2,FALSE()),1)),0))))</f>
        <v>0</v>
      </c>
    </row>
    <row r="129" spans="1:9" x14ac:dyDescent="0.25">
      <c r="A129" s="12"/>
      <c r="B129" s="13"/>
      <c r="C129" s="17"/>
      <c r="D129" s="13"/>
      <c r="E129" s="13"/>
      <c r="F129" s="13"/>
      <c r="G129" s="15"/>
      <c r="H129" s="15"/>
      <c r="I129" s="16">
        <f>IF(C129="",0,IF(OR(A129="",A129="DNS"),0,IF(A129="DNF",1,IF(ISNUMBER(A129),IF($I$105="J",IF(A129&lt;=11,VLOOKUP(A129,Punten!$A$2:$C$31,3,FALSE()),1),IF(A129&lt;=30,VLOOKUP(A129,Punten!$A$2:$C$31,2,FALSE()),1)),0))))</f>
        <v>0</v>
      </c>
    </row>
    <row r="130" spans="1:9" x14ac:dyDescent="0.25">
      <c r="A130" s="12"/>
      <c r="B130" s="13"/>
      <c r="C130" s="17"/>
      <c r="D130" s="13"/>
      <c r="E130" s="13"/>
      <c r="F130" s="13"/>
      <c r="G130" s="15"/>
      <c r="H130" s="15"/>
      <c r="I130" s="16">
        <f>IF(C130="",0,IF(OR(A130="",A130="DNS"),0,IF(A130="DNF",1,IF(ISNUMBER(A130),IF($I$105="J",IF(A130&lt;=11,VLOOKUP(A130,Punten!$A$2:$C$31,3,FALSE()),1),IF(A130&lt;=30,VLOOKUP(A130,Punten!$A$2:$C$31,2,FALSE()),1)),0))))</f>
        <v>0</v>
      </c>
    </row>
    <row r="131" spans="1:9" x14ac:dyDescent="0.25">
      <c r="A131" s="12"/>
      <c r="B131" s="13"/>
      <c r="C131" s="17"/>
      <c r="D131" s="13"/>
      <c r="E131" s="13"/>
      <c r="F131" s="13"/>
      <c r="G131" s="15"/>
      <c r="H131" s="15"/>
      <c r="I131" s="16">
        <f>IF(C131="",0,IF(OR(A131="",A131="DNS"),0,IF(A131="DNF",1,IF(ISNUMBER(A131),IF($I$105="J",IF(A131&lt;=11,VLOOKUP(A131,Punten!$A$2:$C$31,3,FALSE()),1),IF(A131&lt;=30,VLOOKUP(A131,Punten!$A$2:$C$31,2,FALSE()),1)),0))))</f>
        <v>0</v>
      </c>
    </row>
    <row r="132" spans="1:9" x14ac:dyDescent="0.25">
      <c r="A132" s="12"/>
      <c r="B132" s="13"/>
      <c r="C132" s="17"/>
      <c r="D132" s="13"/>
      <c r="E132" s="13"/>
      <c r="F132" s="13"/>
      <c r="G132" s="15"/>
      <c r="H132" s="15"/>
      <c r="I132" s="16">
        <f>IF(C132="",0,IF(OR(A132="",A132="DNS"),0,IF(A132="DNF",1,IF(ISNUMBER(A132),IF($I$105="J",IF(A132&lt;=11,VLOOKUP(A132,Punten!$A$2:$C$31,3,FALSE()),1),IF(A132&lt;=30,VLOOKUP(A132,Punten!$A$2:$C$31,2,FALSE()),1)),0))))</f>
        <v>0</v>
      </c>
    </row>
    <row r="133" spans="1:9" x14ac:dyDescent="0.25">
      <c r="A133" s="12"/>
      <c r="B133" s="13"/>
      <c r="C133" s="17"/>
      <c r="D133" s="13"/>
      <c r="E133" s="13"/>
      <c r="F133" s="13"/>
      <c r="G133" s="15"/>
      <c r="H133" s="15"/>
      <c r="I133" s="16">
        <f>IF(C133="",0,IF(OR(A133="",A133="DNS"),0,IF(A133="DNF",1,IF(ISNUMBER(A133),IF($I$105="J",IF(A133&lt;=11,VLOOKUP(A133,Punten!$A$2:$C$31,3,FALSE()),1),IF(A133&lt;=30,VLOOKUP(A133,Punten!$A$2:$C$31,2,FALSE()),1)),0))))</f>
        <v>0</v>
      </c>
    </row>
    <row r="134" spans="1:9" x14ac:dyDescent="0.25">
      <c r="A134" s="12"/>
      <c r="B134" s="13"/>
      <c r="C134" s="17"/>
      <c r="D134" s="13"/>
      <c r="E134" s="13"/>
      <c r="F134" s="13"/>
      <c r="G134" s="15"/>
      <c r="H134" s="15"/>
      <c r="I134" s="16">
        <f>IF(C134="",0,IF(OR(A134="",A134="DNS"),0,IF(A134="DNF",1,IF(ISNUMBER(A134),IF($I$105="J",IF(A134&lt;=11,VLOOKUP(A134,Punten!$A$2:$C$31,3,FALSE()),1),IF(A134&lt;=30,VLOOKUP(A134,Punten!$A$2:$C$31,2,FALSE()),1)),0))))</f>
        <v>0</v>
      </c>
    </row>
    <row r="135" spans="1:9" x14ac:dyDescent="0.25">
      <c r="A135" s="12"/>
      <c r="B135" s="13"/>
      <c r="C135" s="17"/>
      <c r="D135" s="13"/>
      <c r="E135" s="13"/>
      <c r="F135" s="13"/>
      <c r="G135" s="15"/>
      <c r="H135" s="15"/>
      <c r="I135" s="16">
        <f>IF(C135="",0,IF(OR(A135="",A135="DNS"),0,IF(A135="DNF",1,IF(ISNUMBER(A135),IF($I$105="J",IF(A135&lt;=11,VLOOKUP(A135,Punten!$A$2:$C$31,3,FALSE()),1),IF(A135&lt;=30,VLOOKUP(A135,Punten!$A$2:$C$31,2,FALSE()),1)),0))))</f>
        <v>0</v>
      </c>
    </row>
    <row r="136" spans="1:9" x14ac:dyDescent="0.25">
      <c r="A136" s="12"/>
      <c r="B136" s="13"/>
      <c r="C136" s="17"/>
      <c r="D136" s="13"/>
      <c r="E136" s="13"/>
      <c r="F136" s="13"/>
      <c r="G136" s="15"/>
      <c r="H136" s="15"/>
      <c r="I136" s="16">
        <f>IF(C136="",0,IF(OR(A136="",A136="DNS"),0,IF(A136="DNF",1,IF(ISNUMBER(A136),IF($I$105="J",IF(A136&lt;=11,VLOOKUP(A136,Punten!$A$2:$C$31,3,FALSE()),1),IF(A136&lt;=30,VLOOKUP(A136,Punten!$A$2:$C$31,2,FALSE()),1)),0))))</f>
        <v>0</v>
      </c>
    </row>
    <row r="137" spans="1:9" x14ac:dyDescent="0.25">
      <c r="A137" s="12"/>
      <c r="B137" s="13"/>
      <c r="C137" s="17"/>
      <c r="D137" s="13"/>
      <c r="E137" s="13"/>
      <c r="F137" s="13"/>
      <c r="G137" s="15"/>
      <c r="H137" s="15"/>
      <c r="I137" s="16">
        <f>IF(C137="",0,IF(OR(A137="",A137="DNS"),0,IF(A137="DNF",1,IF(ISNUMBER(A137),IF($I$105="J",IF(A137&lt;=11,VLOOKUP(A137,Punten!$A$2:$C$31,3,FALSE()),1),IF(A137&lt;=30,VLOOKUP(A137,Punten!$A$2:$C$31,2,FALSE()),1)),0))))</f>
        <v>0</v>
      </c>
    </row>
    <row r="138" spans="1:9" x14ac:dyDescent="0.25">
      <c r="A138" s="12"/>
      <c r="B138" s="13"/>
      <c r="C138" s="17"/>
      <c r="D138" s="13"/>
      <c r="E138" s="13"/>
      <c r="F138" s="13"/>
      <c r="G138" s="15"/>
      <c r="H138" s="15"/>
      <c r="I138" s="16">
        <f>IF(C138="",0,IF(OR(A138="",A138="DNS"),0,IF(A138="DNF",1,IF(ISNUMBER(A138),IF($I$105="J",IF(A138&lt;=11,VLOOKUP(A138,Punten!$A$2:$C$31,3,FALSE()),1),IF(A138&lt;=30,VLOOKUP(A138,Punten!$A$2:$C$31,2,FALSE()),1)),0))))</f>
        <v>0</v>
      </c>
    </row>
    <row r="139" spans="1:9" x14ac:dyDescent="0.25">
      <c r="A139" s="12"/>
      <c r="B139" s="13"/>
      <c r="C139" s="17"/>
      <c r="D139" s="13"/>
      <c r="E139" s="13"/>
      <c r="F139" s="13"/>
      <c r="G139" s="15"/>
      <c r="H139" s="15"/>
      <c r="I139" s="16">
        <f>IF(C139="",0,IF(OR(A139="",A139="DNS"),0,IF(A139="DNF",1,IF(ISNUMBER(A139),IF($I$105="J",IF(A139&lt;=11,VLOOKUP(A139,Punten!$A$2:$C$31,3,FALSE()),1),IF(A139&lt;=30,VLOOKUP(A139,Punten!$A$2:$C$31,2,FALSE()),1)),0))))</f>
        <v>0</v>
      </c>
    </row>
    <row r="140" spans="1:9" x14ac:dyDescent="0.25">
      <c r="A140" s="12"/>
      <c r="B140" s="13"/>
      <c r="C140" s="17"/>
      <c r="D140" s="13"/>
      <c r="E140" s="13"/>
      <c r="F140" s="13"/>
      <c r="G140" s="15"/>
      <c r="H140" s="15"/>
      <c r="I140" s="16">
        <f>IF(C140="",0,IF(OR(A140="",A140="DNS"),0,IF(A140="DNF",1,IF(ISNUMBER(A140),IF($I$105="J",IF(A140&lt;=11,VLOOKUP(A140,Punten!$A$2:$C$31,3,FALSE()),1),IF(A140&lt;=30,VLOOKUP(A140,Punten!$A$2:$C$31,2,FALSE()),1)),0))))</f>
        <v>0</v>
      </c>
    </row>
    <row r="141" spans="1:9" x14ac:dyDescent="0.25">
      <c r="A141" s="12"/>
      <c r="B141" s="13"/>
      <c r="C141" s="17"/>
      <c r="D141" s="13"/>
      <c r="E141" s="13"/>
      <c r="F141" s="13"/>
      <c r="G141" s="15"/>
      <c r="H141" s="15"/>
      <c r="I141" s="16">
        <f>IF(C141="",0,IF(OR(A141="",A141="DNS"),0,IF(A141="DNF",1,IF(ISNUMBER(A141),IF($I$105="J",IF(A141&lt;=11,VLOOKUP(A141,Punten!$A$2:$C$31,3,FALSE()),1),IF(A141&lt;=30,VLOOKUP(A141,Punten!$A$2:$C$31,2,FALSE()),1)),0))))</f>
        <v>0</v>
      </c>
    </row>
    <row r="142" spans="1:9" x14ac:dyDescent="0.25">
      <c r="A142" s="12"/>
      <c r="B142" s="13"/>
      <c r="C142" s="17"/>
      <c r="D142" s="13"/>
      <c r="E142" s="13"/>
      <c r="F142" s="13"/>
      <c r="G142" s="15"/>
      <c r="H142" s="15"/>
      <c r="I142" s="16">
        <f>IF(C142="",0,IF(OR(A142="",A142="DNS"),0,IF(A142="DNF",1,IF(ISNUMBER(A142),IF($I$105="J",IF(A142&lt;=11,VLOOKUP(A142,Punten!$A$2:$C$31,3,FALSE()),1),IF(A142&lt;=30,VLOOKUP(A142,Punten!$A$2:$C$31,2,FALSE()),1)),0))))</f>
        <v>0</v>
      </c>
    </row>
    <row r="143" spans="1:9" x14ac:dyDescent="0.25">
      <c r="A143" s="12"/>
      <c r="B143" s="13"/>
      <c r="C143" s="17"/>
      <c r="D143" s="13"/>
      <c r="E143" s="13"/>
      <c r="F143" s="13"/>
      <c r="G143" s="15"/>
      <c r="H143" s="15"/>
      <c r="I143" s="16">
        <f>IF(C143="",0,IF(OR(A143="",A143="DNS"),0,IF(A143="DNF",1,IF(ISNUMBER(A143),IF($I$105="J",IF(A143&lt;=11,VLOOKUP(A143,Punten!$A$2:$C$31,3,FALSE()),1),IF(A143&lt;=30,VLOOKUP(A143,Punten!$A$2:$C$31,2,FALSE()),1)),0))))</f>
        <v>0</v>
      </c>
    </row>
    <row r="144" spans="1:9" x14ac:dyDescent="0.25">
      <c r="A144" s="12"/>
      <c r="B144" s="13"/>
      <c r="C144" s="17"/>
      <c r="D144" s="13"/>
      <c r="E144" s="13"/>
      <c r="F144" s="13"/>
      <c r="G144" s="15"/>
      <c r="H144" s="15"/>
      <c r="I144" s="16">
        <f>IF(C144="",0,IF(OR(A144="",A144="DNS"),0,IF(A144="DNF",1,IF(ISNUMBER(A144),IF($I$105="J",IF(A144&lt;=11,VLOOKUP(A144,Punten!$A$2:$C$31,3,FALSE()),1),IF(A144&lt;=30,VLOOKUP(A144,Punten!$A$2:$C$31,2,FALSE()),1)),0))))</f>
        <v>0</v>
      </c>
    </row>
    <row r="145" spans="1:9" x14ac:dyDescent="0.25">
      <c r="A145" s="12"/>
      <c r="B145" s="13"/>
      <c r="C145" s="17"/>
      <c r="D145" s="13"/>
      <c r="E145" s="13"/>
      <c r="F145" s="13"/>
      <c r="G145" s="15"/>
      <c r="H145" s="15"/>
      <c r="I145" s="16">
        <f>IF(C145="",0,IF(OR(A145="",A145="DNS"),0,IF(A145="DNF",1,IF(ISNUMBER(A145),IF($I$105="J",IF(A145&lt;=11,VLOOKUP(A145,Punten!$A$2:$C$31,3,FALSE()),1),IF(A145&lt;=30,VLOOKUP(A145,Punten!$A$2:$C$31,2,FALSE()),1)),0))))</f>
        <v>0</v>
      </c>
    </row>
    <row r="146" spans="1:9" x14ac:dyDescent="0.25">
      <c r="A146" s="12"/>
      <c r="B146" s="13"/>
      <c r="C146" s="17"/>
      <c r="D146" s="13"/>
      <c r="E146" s="13"/>
      <c r="F146" s="13"/>
      <c r="G146" s="15"/>
      <c r="H146" s="15"/>
      <c r="I146" s="16">
        <f>IF(C146="",0,IF(OR(A146="",A146="DNS"),0,IF(A146="DNF",1,IF(ISNUMBER(A146),IF($I$105="J",IF(A146&lt;=11,VLOOKUP(A146,Punten!$A$2:$C$31,3,FALSE()),1),IF(A146&lt;=30,VLOOKUP(A146,Punten!$A$2:$C$31,2,FALSE()),1)),0))))</f>
        <v>0</v>
      </c>
    </row>
    <row r="147" spans="1:9" x14ac:dyDescent="0.25">
      <c r="A147" s="12"/>
      <c r="B147" s="13"/>
      <c r="C147" s="17"/>
      <c r="D147" s="13"/>
      <c r="E147" s="13"/>
      <c r="F147" s="13"/>
      <c r="G147" s="15"/>
      <c r="H147" s="15"/>
      <c r="I147" s="16">
        <f>IF(C147="",0,IF(OR(A147="",A147="DNS"),0,IF(A147="DNF",1,IF(ISNUMBER(A147),IF($I$105="J",IF(A147&lt;=11,VLOOKUP(A147,Punten!$A$2:$C$31,3,FALSE()),1),IF(A147&lt;=30,VLOOKUP(A147,Punten!$A$2:$C$31,2,FALSE()),1)),0))))</f>
        <v>0</v>
      </c>
    </row>
    <row r="148" spans="1:9" x14ac:dyDescent="0.25">
      <c r="A148" s="12"/>
      <c r="B148" s="13"/>
      <c r="C148" s="17"/>
      <c r="D148" s="13"/>
      <c r="E148" s="13"/>
      <c r="F148" s="13"/>
      <c r="G148" s="15"/>
      <c r="H148" s="15"/>
      <c r="I148" s="16">
        <f>IF(C148="",0,IF(OR(A148="",A148="DNS"),0,IF(A148="DNF",1,IF(ISNUMBER(A148),IF($I$105="J",IF(A148&lt;=11,VLOOKUP(A148,Punten!$A$2:$C$31,3,FALSE()),1),IF(A148&lt;=30,VLOOKUP(A148,Punten!$A$2:$C$31,2,FALSE()),1)),0))))</f>
        <v>0</v>
      </c>
    </row>
    <row r="149" spans="1:9" x14ac:dyDescent="0.25">
      <c r="A149" s="12"/>
      <c r="B149" s="13"/>
      <c r="C149" s="17"/>
      <c r="D149" s="13"/>
      <c r="E149" s="13"/>
      <c r="F149" s="13"/>
      <c r="G149" s="15"/>
      <c r="H149" s="15"/>
      <c r="I149" s="16">
        <f>IF(C149="",0,IF(OR(A149="",A149="DNS"),0,IF(A149="DNF",1,IF(ISNUMBER(A149),IF($I$105="J",IF(A149&lt;=11,VLOOKUP(A149,Punten!$A$2:$C$31,3,FALSE()),1),IF(A149&lt;=30,VLOOKUP(A149,Punten!$A$2:$C$31,2,FALSE()),1)),0))))</f>
        <v>0</v>
      </c>
    </row>
    <row r="150" spans="1:9" x14ac:dyDescent="0.25">
      <c r="A150" s="12"/>
      <c r="B150" s="13"/>
      <c r="C150" s="17"/>
      <c r="D150" s="13"/>
      <c r="E150" s="13"/>
      <c r="F150" s="13"/>
      <c r="G150" s="15"/>
      <c r="H150" s="15"/>
      <c r="I150" s="16">
        <f>IF(C150="",0,IF(OR(A150="",A150="DNS"),0,IF(A150="DNF",1,IF(ISNUMBER(A150),IF($I$105="J",IF(A150&lt;=11,VLOOKUP(A150,Punten!$A$2:$C$31,3,FALSE()),1),IF(A150&lt;=30,VLOOKUP(A150,Punten!$A$2:$C$31,2,FALSE()),1)),0))))</f>
        <v>0</v>
      </c>
    </row>
    <row r="151" spans="1:9" x14ac:dyDescent="0.25">
      <c r="A151" s="12"/>
      <c r="B151" s="13"/>
      <c r="C151" s="17"/>
      <c r="D151" s="13"/>
      <c r="E151" s="13"/>
      <c r="F151" s="13"/>
      <c r="G151" s="15"/>
      <c r="H151" s="15"/>
      <c r="I151" s="16">
        <f>IF(C151="",0,IF(OR(A151="",A151="DNS"),0,IF(A151="DNF",1,IF(ISNUMBER(A151),IF($I$105="J",IF(A151&lt;=11,VLOOKUP(A151,Punten!$A$2:$C$31,3,FALSE()),1),IF(A151&lt;=30,VLOOKUP(A151,Punten!$A$2:$C$31,2,FALSE()),1)),0))))</f>
        <v>0</v>
      </c>
    </row>
    <row r="152" spans="1:9" x14ac:dyDescent="0.25">
      <c r="A152" s="12"/>
      <c r="B152" s="13"/>
      <c r="C152" s="17"/>
      <c r="D152" s="13"/>
      <c r="E152" s="13"/>
      <c r="F152" s="13"/>
      <c r="G152" s="15"/>
      <c r="H152" s="15"/>
      <c r="I152" s="16">
        <f>IF(C152="",0,IF(OR(A152="",A152="DNS"),0,IF(A152="DNF",1,IF(ISNUMBER(A152),IF($I$105="J",IF(A152&lt;=11,VLOOKUP(A152,Punten!$A$2:$C$31,3,FALSE()),1),IF(A152&lt;=30,VLOOKUP(A152,Punten!$A$2:$C$31,2,FALSE()),1)),0))))</f>
        <v>0</v>
      </c>
    </row>
    <row r="153" spans="1:9" x14ac:dyDescent="0.25">
      <c r="A153" s="12"/>
      <c r="B153" s="13"/>
      <c r="C153" s="17"/>
      <c r="D153" s="13"/>
      <c r="E153" s="13"/>
      <c r="F153" s="13"/>
      <c r="G153" s="15"/>
      <c r="H153" s="15"/>
      <c r="I153" s="16">
        <f>IF(C153="",0,IF(OR(A153="",A153="DNS"),0,IF(A153="DNF",1,IF(ISNUMBER(A153),IF($I$105="J",IF(A153&lt;=11,VLOOKUP(A153,Punten!$A$2:$C$31,3,FALSE()),1),IF(A153&lt;=30,VLOOKUP(A153,Punten!$A$2:$C$31,2,FALSE()),1)),0))))</f>
        <v>0</v>
      </c>
    </row>
    <row r="154" spans="1:9" x14ac:dyDescent="0.25">
      <c r="A154" s="12"/>
      <c r="B154" s="13"/>
      <c r="C154" s="17"/>
      <c r="D154" s="13"/>
      <c r="E154" s="13"/>
      <c r="F154" s="13"/>
      <c r="G154" s="15"/>
      <c r="H154" s="15"/>
      <c r="I154" s="16">
        <f>IF(C154="",0,IF(OR(A154="",A154="DNS"),0,IF(A154="DNF",1,IF(ISNUMBER(A154),IF($I$105="J",IF(A154&lt;=11,VLOOKUP(A154,Punten!$A$2:$C$31,3,FALSE()),1),IF(A154&lt;=30,VLOOKUP(A154,Punten!$A$2:$C$31,2,FALSE()),1)),0))))</f>
        <v>0</v>
      </c>
    </row>
    <row r="155" spans="1:9" x14ac:dyDescent="0.25">
      <c r="A155" s="12"/>
      <c r="B155" s="13"/>
      <c r="C155" s="17"/>
      <c r="D155" s="13"/>
      <c r="E155" s="13"/>
      <c r="F155" s="13"/>
      <c r="G155" s="15"/>
      <c r="H155" s="15"/>
      <c r="I155" s="16">
        <f>IF(C155="",0,IF(OR(A155="",A155="DNS"),0,IF(A155="DNF",1,IF(ISNUMBER(A155),IF($I$105="J",IF(A155&lt;=11,VLOOKUP(A155,Punten!$A$2:$C$31,3,FALSE()),1),IF(A155&lt;=30,VLOOKUP(A155,Punten!$A$2:$C$31,2,FALSE()),1)),0))))</f>
        <v>0</v>
      </c>
    </row>
    <row r="156" spans="1:9" x14ac:dyDescent="0.25">
      <c r="A156" s="12"/>
      <c r="B156" s="13"/>
      <c r="C156" s="17"/>
      <c r="D156" s="13"/>
      <c r="E156" s="13"/>
      <c r="F156" s="13"/>
      <c r="G156" s="15"/>
      <c r="H156" s="15"/>
      <c r="I156" s="16">
        <f>IF(C156="",0,IF(OR(A156="",A156="DNS"),0,IF(A156="DNF",1,IF(ISNUMBER(A156),IF($I$105="J",IF(A156&lt;=11,VLOOKUP(A156,Punten!$A$2:$C$31,3,FALSE()),1),IF(A156&lt;=30,VLOOKUP(A156,Punten!$A$2:$C$31,2,FALSE()),1)),0))))</f>
        <v>0</v>
      </c>
    </row>
    <row r="157" spans="1:9" x14ac:dyDescent="0.25">
      <c r="A157" s="12"/>
      <c r="B157" s="13"/>
      <c r="C157" s="17"/>
      <c r="D157" s="13"/>
      <c r="E157" s="13"/>
      <c r="F157" s="13"/>
      <c r="G157" s="15"/>
      <c r="H157" s="15"/>
      <c r="I157" s="16">
        <f>IF(C157="",0,IF(OR(A157="",A157="DNS"),0,IF(A157="DNF",1,IF(ISNUMBER(A157),IF($I$105="J",IF(A157&lt;=11,VLOOKUP(A157,Punten!$A$2:$C$31,3,FALSE()),1),IF(A157&lt;=30,VLOOKUP(A157,Punten!$A$2:$C$31,2,FALSE()),1)),0))))</f>
        <v>0</v>
      </c>
    </row>
    <row r="158" spans="1:9" x14ac:dyDescent="0.25">
      <c r="A158" s="12"/>
      <c r="B158" s="13"/>
      <c r="C158" s="17"/>
      <c r="D158" s="13"/>
      <c r="E158" s="13"/>
      <c r="F158" s="13"/>
      <c r="G158" s="15"/>
      <c r="H158" s="15"/>
      <c r="I158" s="16">
        <f>IF(C158="",0,IF(OR(A158="",A158="DNS"),0,IF(A158="DNF",1,IF(ISNUMBER(A158),IF($I$105="J",IF(A158&lt;=11,VLOOKUP(A158,Punten!$A$2:$C$31,3,FALSE()),1),IF(A158&lt;=30,VLOOKUP(A158,Punten!$A$2:$C$31,2,FALSE()),1)),0))))</f>
        <v>0</v>
      </c>
    </row>
    <row r="159" spans="1:9" x14ac:dyDescent="0.25">
      <c r="A159" s="12"/>
      <c r="B159" s="13"/>
      <c r="C159" s="17"/>
      <c r="D159" s="13"/>
      <c r="E159" s="13"/>
      <c r="F159" s="13"/>
      <c r="G159" s="15"/>
      <c r="H159" s="15"/>
      <c r="I159" s="16">
        <f>IF(C159="",0,IF(OR(A159="",A159="DNS"),0,IF(A159="DNF",1,IF(ISNUMBER(A159),IF($I$105="J",IF(A159&lt;=11,VLOOKUP(A159,Punten!$A$2:$C$31,3,FALSE()),1),IF(A159&lt;=30,VLOOKUP(A159,Punten!$A$2:$C$31,2,FALSE()),1)),0))))</f>
        <v>0</v>
      </c>
    </row>
    <row r="160" spans="1:9" x14ac:dyDescent="0.25">
      <c r="A160" s="12"/>
      <c r="B160" s="13"/>
      <c r="C160" s="17"/>
      <c r="D160" s="13"/>
      <c r="E160" s="13"/>
      <c r="F160" s="13"/>
      <c r="G160" s="15"/>
      <c r="H160" s="15"/>
      <c r="I160" s="16">
        <f>IF(C160="",0,IF(OR(A160="",A160="DNS"),0,IF(A160="DNF",1,IF(ISNUMBER(A160),IF($I$105="J",IF(A160&lt;=11,VLOOKUP(A160,Punten!$A$2:$C$31,3,FALSE()),1),IF(A160&lt;=30,VLOOKUP(A160,Punten!$A$2:$C$31,2,FALSE()),1)),0))))</f>
        <v>0</v>
      </c>
    </row>
    <row r="161" spans="1:9" x14ac:dyDescent="0.25">
      <c r="A161" s="12"/>
      <c r="B161" s="13"/>
      <c r="C161" s="17"/>
      <c r="D161" s="13"/>
      <c r="E161" s="13"/>
      <c r="F161" s="13"/>
      <c r="G161" s="15"/>
      <c r="H161" s="15"/>
      <c r="I161" s="16">
        <f>IF(C161="",0,IF(OR(A161="",A161="DNS"),0,IF(A161="DNF",1,IF(ISNUMBER(A161),IF($I$105="J",IF(A161&lt;=11,VLOOKUP(A161,Punten!$A$2:$C$31,3,FALSE()),1),IF(A161&lt;=30,VLOOKUP(A161,Punten!$A$2:$C$31,2,FALSE()),1)),0))))</f>
        <v>0</v>
      </c>
    </row>
    <row r="162" spans="1:9" x14ac:dyDescent="0.25">
      <c r="A162" s="12"/>
      <c r="B162" s="13"/>
      <c r="C162" s="17"/>
      <c r="D162" s="13"/>
      <c r="E162" s="13"/>
      <c r="F162" s="13"/>
      <c r="G162" s="15"/>
      <c r="H162" s="15"/>
      <c r="I162" s="16">
        <f>IF(C162="",0,IF(OR(A162="",A162="DNS"),0,IF(A162="DNF",1,IF(ISNUMBER(A162),IF($I$105="J",IF(A162&lt;=11,VLOOKUP(A162,Punten!$A$2:$C$31,3,FALSE()),1),IF(A162&lt;=30,VLOOKUP(A162,Punten!$A$2:$C$31,2,FALSE()),1)),0))))</f>
        <v>0</v>
      </c>
    </row>
    <row r="163" spans="1:9" x14ac:dyDescent="0.25">
      <c r="A163" s="12"/>
      <c r="B163" s="13"/>
      <c r="C163" s="17"/>
      <c r="D163" s="13"/>
      <c r="E163" s="13"/>
      <c r="F163" s="13"/>
      <c r="G163" s="15"/>
      <c r="H163" s="15"/>
      <c r="I163" s="16">
        <f>IF(C163="",0,IF(OR(A163="",A163="DNS"),0,IF(A163="DNF",1,IF(ISNUMBER(A163),IF($I$105="J",IF(A163&lt;=11,VLOOKUP(A163,Punten!$A$2:$C$31,3,FALSE()),1),IF(A163&lt;=30,VLOOKUP(A163,Punten!$A$2:$C$31,2,FALSE()),1)),0))))</f>
        <v>0</v>
      </c>
    </row>
    <row r="164" spans="1:9" x14ac:dyDescent="0.25">
      <c r="A164" s="12"/>
      <c r="B164" s="13"/>
      <c r="C164" s="17"/>
      <c r="D164" s="13"/>
      <c r="E164" s="13"/>
      <c r="F164" s="13"/>
      <c r="G164" s="15"/>
      <c r="H164" s="15"/>
      <c r="I164" s="16">
        <f>IF(C164="",0,IF(OR(A164="",A164="DNS"),0,IF(A164="DNF",1,IF(ISNUMBER(A164),IF($I$105="J",IF(A164&lt;=11,VLOOKUP(A164,Punten!$A$2:$C$31,3,FALSE()),1),IF(A164&lt;=30,VLOOKUP(A164,Punten!$A$2:$C$31,2,FALSE()),1)),0))))</f>
        <v>0</v>
      </c>
    </row>
    <row r="165" spans="1:9" x14ac:dyDescent="0.25">
      <c r="A165" s="12"/>
      <c r="B165" s="13"/>
      <c r="C165" s="17"/>
      <c r="D165" s="13"/>
      <c r="E165" s="13"/>
      <c r="F165" s="13"/>
      <c r="G165" s="15"/>
      <c r="H165" s="15"/>
      <c r="I165" s="16">
        <f>IF(C165="",0,IF(OR(A165="",A165="DNS"),0,IF(A165="DNF",1,IF(ISNUMBER(A165),IF($I$105="J",IF(A165&lt;=11,VLOOKUP(A165,Punten!$A$2:$C$31,3,FALSE()),1),IF(A165&lt;=30,VLOOKUP(A165,Punten!$A$2:$C$31,2,FALSE()),1)),0))))</f>
        <v>0</v>
      </c>
    </row>
    <row r="166" spans="1:9" x14ac:dyDescent="0.25">
      <c r="A166" s="12"/>
      <c r="B166" s="13"/>
      <c r="C166" s="17"/>
      <c r="D166" s="13"/>
      <c r="E166" s="13"/>
      <c r="F166" s="13"/>
      <c r="G166" s="15"/>
      <c r="H166" s="15"/>
      <c r="I166" s="16">
        <f>IF(C166="",0,IF(OR(A166="",A166="DNS"),0,IF(A166="DNF",1,IF(ISNUMBER(A166),IF($I$105="J",IF(A166&lt;=11,VLOOKUP(A166,Punten!$A$2:$C$31,3,FALSE()),1),IF(A166&lt;=30,VLOOKUP(A166,Punten!$A$2:$C$31,2,FALSE()),1)),0))))</f>
        <v>0</v>
      </c>
    </row>
    <row r="167" spans="1:9" x14ac:dyDescent="0.25">
      <c r="A167" s="12"/>
      <c r="B167" s="13"/>
      <c r="C167" s="17"/>
      <c r="D167" s="13"/>
      <c r="E167" s="13"/>
      <c r="F167" s="13"/>
      <c r="G167" s="15"/>
      <c r="H167" s="15"/>
      <c r="I167" s="16">
        <f>IF(C167="",0,IF(OR(A167="",A167="DNS"),0,IF(A167="DNF",1,IF(ISNUMBER(A167),IF($I$105="J",IF(A167&lt;=11,VLOOKUP(A167,Punten!$A$2:$C$31,3,FALSE()),1),IF(A167&lt;=30,VLOOKUP(A167,Punten!$A$2:$C$31,2,FALSE()),1)),0))))</f>
        <v>0</v>
      </c>
    </row>
    <row r="168" spans="1:9" x14ac:dyDescent="0.25">
      <c r="A168" s="12"/>
      <c r="B168" s="13"/>
      <c r="C168" s="17"/>
      <c r="D168" s="13"/>
      <c r="E168" s="13"/>
      <c r="F168" s="13"/>
      <c r="G168" s="15"/>
      <c r="H168" s="15"/>
      <c r="I168" s="16">
        <f>IF(C168="",0,IF(OR(A168="",A168="DNS"),0,IF(A168="DNF",1,IF(ISNUMBER(A168),IF($I$105="J",IF(A168&lt;=11,VLOOKUP(A168,Punten!$A$2:$C$31,3,FALSE()),1),IF(A168&lt;=30,VLOOKUP(A168,Punten!$A$2:$C$31,2,FALSE()),1)),0))))</f>
        <v>0</v>
      </c>
    </row>
    <row r="169" spans="1:9" x14ac:dyDescent="0.25">
      <c r="A169" s="12"/>
      <c r="B169" s="13"/>
      <c r="C169" s="17"/>
      <c r="D169" s="13"/>
      <c r="E169" s="13"/>
      <c r="F169" s="13"/>
      <c r="G169" s="15"/>
      <c r="H169" s="15"/>
      <c r="I169" s="16">
        <f>IF(C169="",0,IF(OR(A169="",A169="DNS"),0,IF(A169="DNF",1,IF(ISNUMBER(A169),IF($I$105="J",IF(A169&lt;=11,VLOOKUP(A169,Punten!$A$2:$C$31,3,FALSE()),1),IF(A169&lt;=30,VLOOKUP(A169,Punten!$A$2:$C$31,2,FALSE()),1)),0))))</f>
        <v>0</v>
      </c>
    </row>
    <row r="170" spans="1:9" x14ac:dyDescent="0.25">
      <c r="A170" s="12"/>
      <c r="B170" s="13"/>
      <c r="C170" s="17"/>
      <c r="D170" s="13"/>
      <c r="E170" s="13"/>
      <c r="F170" s="13"/>
      <c r="G170" s="15"/>
      <c r="H170" s="15"/>
      <c r="I170" s="16">
        <f>IF(C170="",0,IF(OR(A170="",A170="DNS"),0,IF(A170="DNF",1,IF(ISNUMBER(A170),IF($I$105="J",IF(A170&lt;=11,VLOOKUP(A170,Punten!$A$2:$C$31,3,FALSE()),1),IF(A170&lt;=30,VLOOKUP(A170,Punten!$A$2:$C$31,2,FALSE()),1)),0))))</f>
        <v>0</v>
      </c>
    </row>
    <row r="171" spans="1:9" x14ac:dyDescent="0.25">
      <c r="A171" s="12"/>
      <c r="B171" s="13"/>
      <c r="C171" s="17"/>
      <c r="D171" s="13"/>
      <c r="E171" s="13"/>
      <c r="F171" s="13"/>
      <c r="G171" s="15"/>
      <c r="H171" s="15"/>
      <c r="I171" s="16">
        <f>IF(C171="",0,IF(OR(A171="",A171="DNS"),0,IF(A171="DNF",1,IF(ISNUMBER(A171),IF($I$105="J",IF(A171&lt;=11,VLOOKUP(A171,Punten!$A$2:$C$31,3,FALSE()),1),IF(A171&lt;=30,VLOOKUP(A171,Punten!$A$2:$C$31,2,FALSE()),1)),0))))</f>
        <v>0</v>
      </c>
    </row>
    <row r="172" spans="1:9" x14ac:dyDescent="0.25">
      <c r="A172" s="12"/>
      <c r="B172" s="13"/>
      <c r="C172" s="17"/>
      <c r="D172" s="13"/>
      <c r="E172" s="13"/>
      <c r="F172" s="13"/>
      <c r="G172" s="15"/>
      <c r="H172" s="15"/>
      <c r="I172" s="16">
        <f>IF(C172="",0,IF(OR(A172="",A172="DNS"),0,IF(A172="DNF",1,IF(ISNUMBER(A172),IF($I$105="J",IF(A172&lt;=11,VLOOKUP(A172,Punten!$A$2:$C$31,3,FALSE()),1),IF(A172&lt;=30,VLOOKUP(A172,Punten!$A$2:$C$31,2,FALSE()),1)),0))))</f>
        <v>0</v>
      </c>
    </row>
    <row r="173" spans="1:9" x14ac:dyDescent="0.25">
      <c r="A173" s="12"/>
      <c r="B173" s="13"/>
      <c r="C173" s="17"/>
      <c r="D173" s="13"/>
      <c r="E173" s="13"/>
      <c r="F173" s="13"/>
      <c r="G173" s="15"/>
      <c r="H173" s="15"/>
      <c r="I173" s="16">
        <f>IF(C173="",0,IF(OR(A173="",A173="DNS"),0,IF(A173="DNF",1,IF(ISNUMBER(A173),IF($I$105="J",IF(A173&lt;=11,VLOOKUP(A173,Punten!$A$2:$C$31,3,FALSE()),1),IF(A173&lt;=30,VLOOKUP(A173,Punten!$A$2:$C$31,2,FALSE()),1)),0))))</f>
        <v>0</v>
      </c>
    </row>
    <row r="174" spans="1:9" x14ac:dyDescent="0.25">
      <c r="A174" s="12"/>
      <c r="B174" s="13"/>
      <c r="C174" s="17"/>
      <c r="D174" s="13"/>
      <c r="E174" s="13"/>
      <c r="F174" s="13"/>
      <c r="G174" s="15"/>
      <c r="H174" s="15"/>
      <c r="I174" s="16">
        <f>IF(C174="",0,IF(OR(A174="",A174="DNS"),0,IF(A174="DNF",1,IF(ISNUMBER(A174),IF($I$105="J",IF(A174&lt;=11,VLOOKUP(A174,Punten!$A$2:$C$31,3,FALSE()),1),IF(A174&lt;=30,VLOOKUP(A174,Punten!$A$2:$C$31,2,FALSE()),1)),0))))</f>
        <v>0</v>
      </c>
    </row>
    <row r="175" spans="1:9" x14ac:dyDescent="0.25">
      <c r="A175" s="12"/>
      <c r="B175" s="13"/>
      <c r="C175" s="17"/>
      <c r="D175" s="13"/>
      <c r="E175" s="13"/>
      <c r="F175" s="13"/>
      <c r="G175" s="15"/>
      <c r="H175" s="15"/>
      <c r="I175" s="16">
        <f>IF(C175="",0,IF(OR(A175="",A175="DNS"),0,IF(A175="DNF",1,IF(ISNUMBER(A175),IF($I$105="J",IF(A175&lt;=11,VLOOKUP(A175,Punten!$A$2:$C$31,3,FALSE()),1),IF(A175&lt;=30,VLOOKUP(A175,Punten!$A$2:$C$31,2,FALSE()),1)),0))))</f>
        <v>0</v>
      </c>
    </row>
    <row r="176" spans="1:9" x14ac:dyDescent="0.25">
      <c r="A176" s="12"/>
      <c r="B176" s="13"/>
      <c r="C176" s="17"/>
      <c r="D176" s="13"/>
      <c r="E176" s="13"/>
      <c r="F176" s="13"/>
      <c r="G176" s="15"/>
      <c r="H176" s="15"/>
      <c r="I176" s="16">
        <f>IF(C176="",0,IF(OR(A176="",A176="DNS"),0,IF(A176="DNF",1,IF(ISNUMBER(A176),IF($I$105="J",IF(A176&lt;=11,VLOOKUP(A176,Punten!$A$2:$C$31,3,FALSE()),1),IF(A176&lt;=30,VLOOKUP(A176,Punten!$A$2:$C$31,2,FALSE()),1)),0))))</f>
        <v>0</v>
      </c>
    </row>
    <row r="177" spans="1:9" x14ac:dyDescent="0.25">
      <c r="A177" s="12"/>
      <c r="B177" s="13"/>
      <c r="C177" s="17"/>
      <c r="D177" s="13"/>
      <c r="E177" s="13"/>
      <c r="F177" s="13"/>
      <c r="G177" s="15"/>
      <c r="H177" s="15"/>
      <c r="I177" s="16">
        <f>IF(C177="",0,IF(OR(A177="",A177="DNS"),0,IF(A177="DNF",1,IF(ISNUMBER(A177),IF($I$105="J",IF(A177&lt;=11,VLOOKUP(A177,Punten!$A$2:$C$31,3,FALSE()),1),IF(A177&lt;=30,VLOOKUP(A177,Punten!$A$2:$C$31,2,FALSE()),1)),0))))</f>
        <v>0</v>
      </c>
    </row>
    <row r="178" spans="1:9" x14ac:dyDescent="0.25">
      <c r="A178" s="12"/>
      <c r="B178" s="13"/>
      <c r="C178" s="17"/>
      <c r="D178" s="13"/>
      <c r="E178" s="13"/>
      <c r="F178" s="13"/>
      <c r="G178" s="15"/>
      <c r="H178" s="15"/>
      <c r="I178" s="16">
        <f>IF(C178="",0,IF(OR(A178="",A178="DNS"),0,IF(A178="DNF",1,IF(ISNUMBER(A178),IF($I$105="J",IF(A178&lt;=11,VLOOKUP(A178,Punten!$A$2:$C$31,3,FALSE()),1),IF(A178&lt;=30,VLOOKUP(A178,Punten!$A$2:$C$31,2,FALSE()),1)),0))))</f>
        <v>0</v>
      </c>
    </row>
    <row r="179" spans="1:9" x14ac:dyDescent="0.25">
      <c r="A179" s="12"/>
      <c r="B179" s="13"/>
      <c r="C179" s="17"/>
      <c r="D179" s="13"/>
      <c r="E179" s="13"/>
      <c r="F179" s="13"/>
      <c r="G179" s="15"/>
      <c r="H179" s="15"/>
      <c r="I179" s="16">
        <f>IF(C179="",0,IF(OR(A179="",A179="DNS"),0,IF(A179="DNF",1,IF(ISNUMBER(A179),IF($I$105="J",IF(A179&lt;=11,VLOOKUP(A179,Punten!$A$2:$C$31,3,FALSE()),1),IF(A179&lt;=30,VLOOKUP(A179,Punten!$A$2:$C$31,2,FALSE()),1)),0))))</f>
        <v>0</v>
      </c>
    </row>
    <row r="180" spans="1:9" x14ac:dyDescent="0.25">
      <c r="A180" s="12"/>
      <c r="B180" s="13"/>
      <c r="C180" s="17"/>
      <c r="D180" s="13"/>
      <c r="E180" s="13"/>
      <c r="F180" s="13"/>
      <c r="G180" s="15"/>
      <c r="H180" s="15"/>
      <c r="I180" s="16">
        <f>IF(C180="",0,IF(OR(A180="",A180="DNS"),0,IF(A180="DNF",1,IF(ISNUMBER(A180),IF($I$105="J",IF(A180&lt;=11,VLOOKUP(A180,Punten!$A$2:$C$31,3,FALSE()),1),IF(A180&lt;=30,VLOOKUP(A180,Punten!$A$2:$C$31,2,FALSE()),1)),0))))</f>
        <v>0</v>
      </c>
    </row>
    <row r="181" spans="1:9" x14ac:dyDescent="0.25">
      <c r="A181" s="12"/>
      <c r="B181" s="13"/>
      <c r="C181" s="17"/>
      <c r="D181" s="13"/>
      <c r="E181" s="13"/>
      <c r="F181" s="13"/>
      <c r="G181" s="15"/>
      <c r="H181" s="15"/>
      <c r="I181" s="16">
        <f>IF(C181="",0,IF(OR(A181="",A181="DNS"),0,IF(A181="DNF",1,IF(ISNUMBER(A181),IF($I$105="J",IF(A181&lt;=11,VLOOKUP(A181,Punten!$A$2:$C$31,3,FALSE()),1),IF(A181&lt;=30,VLOOKUP(A181,Punten!$A$2:$C$31,2,FALSE()),1)),0))))</f>
        <v>0</v>
      </c>
    </row>
    <row r="182" spans="1:9" x14ac:dyDescent="0.25">
      <c r="A182" s="12"/>
      <c r="B182" s="13"/>
      <c r="C182" s="17"/>
      <c r="D182" s="13"/>
      <c r="E182" s="13"/>
      <c r="F182" s="13"/>
      <c r="G182" s="15"/>
      <c r="H182" s="15"/>
      <c r="I182" s="16">
        <f>IF(C182="",0,IF(OR(A182="",A182="DNS"),0,IF(A182="DNF",1,IF(ISNUMBER(A182),IF($I$105="J",IF(A182&lt;=11,VLOOKUP(A182,Punten!$A$2:$C$31,3,FALSE()),1),IF(A182&lt;=30,VLOOKUP(A182,Punten!$A$2:$C$31,2,FALSE()),1)),0))))</f>
        <v>0</v>
      </c>
    </row>
    <row r="183" spans="1:9" x14ac:dyDescent="0.25">
      <c r="A183" s="12"/>
      <c r="B183" s="13"/>
      <c r="C183" s="17"/>
      <c r="D183" s="13"/>
      <c r="E183" s="13"/>
      <c r="F183" s="13"/>
      <c r="G183" s="15"/>
      <c r="H183" s="15"/>
      <c r="I183" s="16">
        <f>IF(C183="",0,IF(OR(A183="",A183="DNS"),0,IF(A183="DNF",1,IF(ISNUMBER(A183),IF($I$105="J",IF(A183&lt;=11,VLOOKUP(A183,Punten!$A$2:$C$31,3,FALSE()),1),IF(A183&lt;=30,VLOOKUP(A183,Punten!$A$2:$C$31,2,FALSE()),1)),0))))</f>
        <v>0</v>
      </c>
    </row>
    <row r="184" spans="1:9" x14ac:dyDescent="0.25">
      <c r="A184" s="12"/>
      <c r="B184" s="13"/>
      <c r="C184" s="17"/>
      <c r="D184" s="13"/>
      <c r="E184" s="13"/>
      <c r="F184" s="13"/>
      <c r="G184" s="15"/>
      <c r="H184" s="15"/>
      <c r="I184" s="16">
        <f>IF(C184="",0,IF(OR(A184="",A184="DNS"),0,IF(A184="DNF",1,IF(ISNUMBER(A184),IF($I$105="J",IF(A184&lt;=11,VLOOKUP(A184,Punten!$A$2:$C$31,3,FALSE()),1),IF(A184&lt;=30,VLOOKUP(A184,Punten!$A$2:$C$31,2,FALSE()),1)),0))))</f>
        <v>0</v>
      </c>
    </row>
    <row r="185" spans="1:9" x14ac:dyDescent="0.25">
      <c r="A185" s="12"/>
      <c r="B185" s="13"/>
      <c r="C185" s="17"/>
      <c r="D185" s="13"/>
      <c r="E185" s="13"/>
      <c r="F185" s="13"/>
      <c r="G185" s="15"/>
      <c r="H185" s="15"/>
      <c r="I185" s="16">
        <f>IF(C185="",0,IF(OR(A185="",A185="DNS"),0,IF(A185="DNF",1,IF(ISNUMBER(A185),IF($I$105="J",IF(A185&lt;=11,VLOOKUP(A185,Punten!$A$2:$C$31,3,FALSE()),1),IF(A185&lt;=30,VLOOKUP(A185,Punten!$A$2:$C$31,2,FALSE()),1)),0))))</f>
        <v>0</v>
      </c>
    </row>
    <row r="186" spans="1:9" x14ac:dyDescent="0.25">
      <c r="A186" s="12"/>
      <c r="B186" s="13"/>
      <c r="C186" s="17"/>
      <c r="D186" s="13"/>
      <c r="E186" s="13"/>
      <c r="F186" s="13"/>
      <c r="G186" s="15"/>
      <c r="H186" s="15"/>
      <c r="I186" s="16">
        <f>IF(C186="",0,IF(OR(A186="",A186="DNS"),0,IF(A186="DNF",1,IF(ISNUMBER(A186),IF($I$105="J",IF(A186&lt;=11,VLOOKUP(A186,Punten!$A$2:$C$31,3,FALSE()),1),IF(A186&lt;=30,VLOOKUP(A186,Punten!$A$2:$C$31,2,FALSE()),1)),0))))</f>
        <v>0</v>
      </c>
    </row>
    <row r="187" spans="1:9" x14ac:dyDescent="0.25">
      <c r="A187" s="12"/>
      <c r="B187" s="13"/>
      <c r="C187" s="17"/>
      <c r="D187" s="13"/>
      <c r="E187" s="13"/>
      <c r="F187" s="13"/>
      <c r="G187" s="15"/>
      <c r="H187" s="15"/>
      <c r="I187" s="16">
        <f>IF(C187="",0,IF(OR(A187="",A187="DNS"),0,IF(A187="DNF",1,IF(ISNUMBER(A187),IF($I$105="J",IF(A187&lt;=11,VLOOKUP(A187,Punten!$A$2:$C$31,3,FALSE()),1),IF(A187&lt;=30,VLOOKUP(A187,Punten!$A$2:$C$31,2,FALSE()),1)),0))))</f>
        <v>0</v>
      </c>
    </row>
    <row r="188" spans="1:9" x14ac:dyDescent="0.25">
      <c r="A188" s="12"/>
      <c r="B188" s="13"/>
      <c r="C188" s="17"/>
      <c r="D188" s="13"/>
      <c r="E188" s="13"/>
      <c r="F188" s="13"/>
      <c r="G188" s="15"/>
      <c r="H188" s="15"/>
      <c r="I188" s="16">
        <f>IF(C188="",0,IF(OR(A188="",A188="DNS"),0,IF(A188="DNF",1,IF(ISNUMBER(A188),IF($I$105="J",IF(A188&lt;=11,VLOOKUP(A188,Punten!$A$2:$C$31,3,FALSE()),1),IF(A188&lt;=30,VLOOKUP(A188,Punten!$A$2:$C$31,2,FALSE()),1)),0))))</f>
        <v>0</v>
      </c>
    </row>
    <row r="189" spans="1:9" x14ac:dyDescent="0.25">
      <c r="A189" s="12"/>
      <c r="B189" s="13"/>
      <c r="C189" s="17"/>
      <c r="D189" s="13"/>
      <c r="E189" s="13"/>
      <c r="F189" s="13"/>
      <c r="G189" s="15"/>
      <c r="H189" s="15"/>
      <c r="I189" s="16">
        <f>IF(C189="",0,IF(OR(A189="",A189="DNS"),0,IF(A189="DNF",1,IF(ISNUMBER(A189),IF($I$105="J",IF(A189&lt;=11,VLOOKUP(A189,Punten!$A$2:$C$31,3,FALSE()),1),IF(A189&lt;=30,VLOOKUP(A189,Punten!$A$2:$C$31,2,FALSE()),1)),0))))</f>
        <v>0</v>
      </c>
    </row>
    <row r="190" spans="1:9" x14ac:dyDescent="0.25">
      <c r="A190" s="12"/>
      <c r="B190" s="13"/>
      <c r="C190" s="17"/>
      <c r="D190" s="13"/>
      <c r="E190" s="13"/>
      <c r="F190" s="13"/>
      <c r="G190" s="15"/>
      <c r="H190" s="15"/>
      <c r="I190" s="16">
        <f>IF(C190="",0,IF(OR(A190="",A190="DNS"),0,IF(A190="DNF",1,IF(ISNUMBER(A190),IF($I$105="J",IF(A190&lt;=11,VLOOKUP(A190,Punten!$A$2:$C$31,3,FALSE()),1),IF(A190&lt;=30,VLOOKUP(A190,Punten!$A$2:$C$31,2,FALSE()),1)),0))))</f>
        <v>0</v>
      </c>
    </row>
    <row r="191" spans="1:9" x14ac:dyDescent="0.25">
      <c r="A191" s="12"/>
      <c r="B191" s="13"/>
      <c r="C191" s="17"/>
      <c r="D191" s="13"/>
      <c r="E191" s="13"/>
      <c r="F191" s="13"/>
      <c r="G191" s="15"/>
      <c r="H191" s="15"/>
      <c r="I191" s="16">
        <f>IF(C191="",0,IF(OR(A191="",A191="DNS"),0,IF(A191="DNF",1,IF(ISNUMBER(A191),IF($I$105="J",IF(A191&lt;=11,VLOOKUP(A191,Punten!$A$2:$C$31,3,FALSE()),1),IF(A191&lt;=30,VLOOKUP(A191,Punten!$A$2:$C$31,2,FALSE()),1)),0))))</f>
        <v>0</v>
      </c>
    </row>
    <row r="192" spans="1:9" x14ac:dyDescent="0.25">
      <c r="A192" s="12"/>
      <c r="B192" s="13"/>
      <c r="C192" s="17"/>
      <c r="D192" s="13"/>
      <c r="E192" s="13"/>
      <c r="F192" s="13"/>
      <c r="G192" s="15"/>
      <c r="H192" s="15"/>
      <c r="I192" s="16">
        <f>IF(C192="",0,IF(OR(A192="",A192="DNS"),0,IF(A192="DNF",1,IF(ISNUMBER(A192),IF($I$105="J",IF(A192&lt;=11,VLOOKUP(A192,Punten!$A$2:$C$31,3,FALSE()),1),IF(A192&lt;=30,VLOOKUP(A192,Punten!$A$2:$C$31,2,FALSE()),1)),0))))</f>
        <v>0</v>
      </c>
    </row>
    <row r="193" spans="1:9" x14ac:dyDescent="0.25">
      <c r="A193" s="12"/>
      <c r="B193" s="13"/>
      <c r="C193" s="17"/>
      <c r="D193" s="13"/>
      <c r="E193" s="13"/>
      <c r="F193" s="13"/>
      <c r="G193" s="15"/>
      <c r="H193" s="15"/>
      <c r="I193" s="16">
        <f>IF(C193="",0,IF(OR(A193="",A193="DNS"),0,IF(A193="DNF",1,IF(ISNUMBER(A193),IF($I$105="J",IF(A193&lt;=11,VLOOKUP(A193,Punten!$A$2:$C$31,3,FALSE()),1),IF(A193&lt;=30,VLOOKUP(A193,Punten!$A$2:$C$31,2,FALSE()),1)),0))))</f>
        <v>0</v>
      </c>
    </row>
    <row r="194" spans="1:9" x14ac:dyDescent="0.25">
      <c r="A194" s="12"/>
      <c r="B194" s="13"/>
      <c r="C194" s="17"/>
      <c r="D194" s="13"/>
      <c r="E194" s="13"/>
      <c r="F194" s="13"/>
      <c r="G194" s="15"/>
      <c r="H194" s="15"/>
      <c r="I194" s="16">
        <f>IF(C194="",0,IF(OR(A194="",A194="DNS"),0,IF(A194="DNF",1,IF(ISNUMBER(A194),IF($I$105="J",IF(A194&lt;=11,VLOOKUP(A194,Punten!$A$2:$C$31,3,FALSE()),1),IF(A194&lt;=30,VLOOKUP(A194,Punten!$A$2:$C$31,2,FALSE()),1)),0))))</f>
        <v>0</v>
      </c>
    </row>
    <row r="195" spans="1:9" x14ac:dyDescent="0.25">
      <c r="A195" s="12"/>
      <c r="B195" s="13"/>
      <c r="C195" s="17"/>
      <c r="D195" s="13"/>
      <c r="E195" s="13"/>
      <c r="F195" s="13"/>
      <c r="G195" s="15"/>
      <c r="H195" s="15"/>
      <c r="I195" s="16">
        <f>IF(C195="",0,IF(OR(A195="",A195="DNS"),0,IF(A195="DNF",1,IF(ISNUMBER(A195),IF($I$105="J",IF(A195&lt;=11,VLOOKUP(A195,Punten!$A$2:$C$31,3,FALSE()),1),IF(A195&lt;=30,VLOOKUP(A195,Punten!$A$2:$C$31,2,FALSE()),1)),0))))</f>
        <v>0</v>
      </c>
    </row>
    <row r="196" spans="1:9" x14ac:dyDescent="0.25">
      <c r="A196" s="12"/>
      <c r="B196" s="13"/>
      <c r="C196" s="17"/>
      <c r="D196" s="13"/>
      <c r="E196" s="13"/>
      <c r="F196" s="13"/>
      <c r="G196" s="15"/>
      <c r="H196" s="15"/>
      <c r="I196" s="16">
        <f>IF(C196="",0,IF(OR(A196="",A196="DNS"),0,IF(A196="DNF",1,IF(ISNUMBER(A196),IF($I$105="J",IF(A196&lt;=11,VLOOKUP(A196,Punten!$A$2:$C$31,3,FALSE()),1),IF(A196&lt;=30,VLOOKUP(A196,Punten!$A$2:$C$31,2,FALSE()),1)),0))))</f>
        <v>0</v>
      </c>
    </row>
    <row r="197" spans="1:9" x14ac:dyDescent="0.25">
      <c r="A197" s="12"/>
      <c r="B197" s="13"/>
      <c r="C197" s="17"/>
      <c r="D197" s="13"/>
      <c r="E197" s="13"/>
      <c r="F197" s="13"/>
      <c r="G197" s="15"/>
      <c r="H197" s="15"/>
      <c r="I197" s="16">
        <f>IF(C197="",0,IF(OR(A197="",A197="DNS"),0,IF(A197="DNF",1,IF(ISNUMBER(A197),IF($I$105="J",IF(A197&lt;=11,VLOOKUP(A197,Punten!$A$2:$C$31,3,FALSE()),1),IF(A197&lt;=30,VLOOKUP(A197,Punten!$A$2:$C$31,2,FALSE()),1)),0))))</f>
        <v>0</v>
      </c>
    </row>
    <row r="198" spans="1:9" x14ac:dyDescent="0.25">
      <c r="A198" s="12"/>
      <c r="B198" s="13"/>
      <c r="C198" s="17"/>
      <c r="D198" s="13"/>
      <c r="E198" s="13"/>
      <c r="F198" s="13"/>
      <c r="G198" s="15"/>
      <c r="H198" s="15"/>
      <c r="I198" s="16">
        <f>IF(C198="",0,IF(OR(A198="",A198="DNS"),0,IF(A198="DNF",1,IF(ISNUMBER(A198),IF($I$105="J",IF(A198&lt;=11,VLOOKUP(A198,Punten!$A$2:$C$31,3,FALSE()),1),IF(A198&lt;=30,VLOOKUP(A198,Punten!$A$2:$C$31,2,FALSE()),1)),0))))</f>
        <v>0</v>
      </c>
    </row>
    <row r="199" spans="1:9" x14ac:dyDescent="0.25">
      <c r="A199" s="12"/>
      <c r="B199" s="13"/>
      <c r="C199" s="17"/>
      <c r="D199" s="13"/>
      <c r="E199" s="13"/>
      <c r="F199" s="13"/>
      <c r="G199" s="15"/>
      <c r="H199" s="15"/>
      <c r="I199" s="16">
        <f>IF(C199="",0,IF(OR(A199="",A199="DNS"),0,IF(A199="DNF",1,IF(ISNUMBER(A199),IF($I$105="J",IF(A199&lt;=11,VLOOKUP(A199,Punten!$A$2:$C$31,3,FALSE()),1),IF(A199&lt;=30,VLOOKUP(A199,Punten!$A$2:$C$31,2,FALSE()),1)),0))))</f>
        <v>0</v>
      </c>
    </row>
    <row r="200" spans="1:9" x14ac:dyDescent="0.25">
      <c r="A200" s="12"/>
      <c r="B200" s="13"/>
      <c r="C200" s="17"/>
      <c r="D200" s="13"/>
      <c r="E200" s="13"/>
      <c r="F200" s="13"/>
      <c r="G200" s="15"/>
      <c r="H200" s="15"/>
      <c r="I200" s="16">
        <f>IF(C200="",0,IF(OR(A200="",A200="DNS"),0,IF(A200="DNF",1,IF(ISNUMBER(A200),IF($I$105="J",IF(A200&lt;=11,VLOOKUP(A200,Punten!$A$2:$C$31,3,FALSE()),1),IF(A200&lt;=30,VLOOKUP(A200,Punten!$A$2:$C$31,2,FALSE()),1)),0))))</f>
        <v>0</v>
      </c>
    </row>
    <row r="201" spans="1:9" x14ac:dyDescent="0.25">
      <c r="A201" s="12"/>
      <c r="B201" s="13"/>
      <c r="C201" s="17"/>
      <c r="D201" s="13"/>
      <c r="E201" s="13"/>
      <c r="F201" s="13"/>
      <c r="G201" s="15"/>
      <c r="H201" s="15"/>
      <c r="I201" s="16">
        <f>IF(C201="",0,IF(OR(A201="",A201="DNS"),0,IF(A201="DNF",1,IF(ISNUMBER(A201),IF($I$105="J",IF(A201&lt;=11,VLOOKUP(A201,Punten!$A$2:$C$31,3,FALSE()),1),IF(A201&lt;=30,VLOOKUP(A201,Punten!$A$2:$C$31,2,FALSE()),1)),0))))</f>
        <v>0</v>
      </c>
    </row>
    <row r="202" spans="1:9" x14ac:dyDescent="0.25">
      <c r="A202" s="12"/>
      <c r="B202" s="13"/>
      <c r="C202" s="17"/>
      <c r="D202" s="13"/>
      <c r="E202" s="13"/>
      <c r="F202" s="13"/>
      <c r="G202" s="15"/>
      <c r="H202" s="15"/>
      <c r="I202" s="16">
        <f>IF(C202="",0,IF(OR(A202="",A202="DNS"),0,IF(A202="DNF",1,IF(ISNUMBER(A202),IF($I$105="J",IF(A202&lt;=11,VLOOKUP(A202,Punten!$A$2:$C$31,3,FALSE()),1),IF(A202&lt;=30,VLOOKUP(A202,Punten!$A$2:$C$31,2,FALSE()),1)),0))))</f>
        <v>0</v>
      </c>
    </row>
    <row r="203" spans="1:9" x14ac:dyDescent="0.25">
      <c r="A203" s="12"/>
      <c r="B203" s="13"/>
      <c r="C203" s="17"/>
      <c r="D203" s="13"/>
      <c r="E203" s="13"/>
      <c r="F203" s="13"/>
      <c r="G203" s="15"/>
      <c r="H203" s="15"/>
      <c r="I203" s="16">
        <f>IF(C203="",0,IF(OR(A203="",A203="DNS"),0,IF(A203="DNF",1,IF(ISNUMBER(A203),IF($I$105="J",IF(A203&lt;=11,VLOOKUP(A203,Punten!$A$2:$C$31,3,FALSE()),1),IF(A203&lt;=30,VLOOKUP(A203,Punten!$A$2:$C$31,2,FALSE()),1)),0))))</f>
        <v>0</v>
      </c>
    </row>
    <row r="204" spans="1:9" x14ac:dyDescent="0.25">
      <c r="A204" s="12"/>
      <c r="B204" s="13"/>
      <c r="C204" s="17"/>
      <c r="D204" s="13"/>
      <c r="E204" s="13"/>
      <c r="F204" s="13"/>
      <c r="G204" s="15"/>
      <c r="H204" s="15"/>
      <c r="I204" s="16">
        <f>IF(C204="",0,IF(OR(A204="",A204="DNS"),0,IF(A204="DNF",1,IF(ISNUMBER(A204),IF($I$105="J",IF(A204&lt;=11,VLOOKUP(A204,Punten!$A$2:$C$31,3,FALSE()),1),IF(A204&lt;=30,VLOOKUP(A204,Punten!$A$2:$C$31,2,FALSE()),1)),0))))</f>
        <v>0</v>
      </c>
    </row>
    <row r="205" spans="1:9" x14ac:dyDescent="0.25">
      <c r="A205" s="12"/>
      <c r="B205" s="13"/>
      <c r="C205" s="17"/>
      <c r="D205" s="13"/>
      <c r="E205" s="13"/>
      <c r="F205" s="13"/>
      <c r="G205" s="15"/>
      <c r="H205" s="15"/>
      <c r="I205" s="16">
        <f>IF(C205="",0,IF(OR(A205="",A205="DNS"),0,IF(A205="DNF",1,IF(ISNUMBER(A205),IF($I$105="J",IF(A205&lt;=11,VLOOKUP(A205,Punten!$A$2:$C$31,3,FALSE()),1),IF(A205&lt;=30,VLOOKUP(A205,Punten!$A$2:$C$31,2,FALSE()),1)),0))))</f>
        <v>0</v>
      </c>
    </row>
    <row r="206" spans="1:9" x14ac:dyDescent="0.25">
      <c r="A206" s="12"/>
      <c r="B206" s="13"/>
      <c r="C206" s="17"/>
      <c r="D206" s="13"/>
      <c r="E206" s="13"/>
      <c r="F206" s="13"/>
      <c r="G206" s="15"/>
      <c r="H206" s="15"/>
      <c r="I206" s="16">
        <f>IF(C206="",0,IF(OR(A206="",A206="DNS"),0,IF(A206="DNF",1,IF(ISNUMBER(A206),IF($I$105="J",IF(A206&lt;=11,VLOOKUP(A206,Punten!$A$2:$C$31,3,FALSE()),1),IF(A206&lt;=30,VLOOKUP(A206,Punten!$A$2:$C$31,2,FALSE()),1)),0))))</f>
        <v>0</v>
      </c>
    </row>
    <row r="208" spans="1:9" ht="16.5" customHeight="1" x14ac:dyDescent="0.25">
      <c r="A208" s="7" t="s">
        <v>130</v>
      </c>
      <c r="B208" s="8"/>
      <c r="C208" s="8"/>
      <c r="D208" s="8"/>
      <c r="E208" s="8"/>
      <c r="F208" s="8"/>
      <c r="G208" s="8"/>
      <c r="H208" s="9" t="s">
        <v>23</v>
      </c>
      <c r="I208" s="10" t="s">
        <v>24</v>
      </c>
    </row>
    <row r="209" spans="1:9" x14ac:dyDescent="0.25">
      <c r="A209" s="11" t="s">
        <v>25</v>
      </c>
      <c r="B209" s="11" t="s">
        <v>26</v>
      </c>
      <c r="C209" s="11" t="s">
        <v>27</v>
      </c>
      <c r="D209" s="11" t="s">
        <v>98</v>
      </c>
      <c r="E209" s="11" t="s">
        <v>28</v>
      </c>
      <c r="F209" s="11" t="s">
        <v>29</v>
      </c>
      <c r="G209" s="11" t="s">
        <v>30</v>
      </c>
      <c r="H209" s="11" t="s">
        <v>31</v>
      </c>
      <c r="I209" s="11" t="s">
        <v>32</v>
      </c>
    </row>
    <row r="210" spans="1:9" x14ac:dyDescent="0.25">
      <c r="A210" s="12"/>
      <c r="B210" s="13"/>
      <c r="C210" s="17"/>
      <c r="D210" s="13"/>
      <c r="E210" s="13"/>
      <c r="F210" s="13"/>
      <c r="G210" s="15"/>
      <c r="H210" s="15"/>
      <c r="I210" s="16">
        <f>IF(C210="",0,IF(OR(A210="",A210="DNS"),0,IF(A210="DNF",1,IF(ISNUMBER(A210),IF($I$208="J",IF(A210&lt;=11,VLOOKUP(A210,Punten!$A$2:$C$31,3,FALSE()),1),IF(A210&lt;=30,VLOOKUP(A210,Punten!$A$2:$C$31,2,FALSE()),1)),0))))</f>
        <v>0</v>
      </c>
    </row>
    <row r="211" spans="1:9" x14ac:dyDescent="0.25">
      <c r="A211" s="12"/>
      <c r="B211" s="13"/>
      <c r="C211" s="17"/>
      <c r="D211" s="13"/>
      <c r="E211" s="13"/>
      <c r="F211" s="13"/>
      <c r="G211" s="15"/>
      <c r="H211" s="15"/>
      <c r="I211" s="16">
        <f>IF(C211="",0,IF(OR(A211="",A211="DNS"),0,IF(A211="DNF",1,IF(ISNUMBER(A211),IF($I$208="J",IF(A211&lt;=11,VLOOKUP(A211,Punten!$A$2:$C$31,3,FALSE()),1),IF(A211&lt;=30,VLOOKUP(A211,Punten!$A$2:$C$31,2,FALSE()),1)),0))))</f>
        <v>0</v>
      </c>
    </row>
    <row r="212" spans="1:9" x14ac:dyDescent="0.25">
      <c r="A212" s="12"/>
      <c r="B212" s="13"/>
      <c r="C212" s="17"/>
      <c r="D212" s="13"/>
      <c r="E212" s="13"/>
      <c r="F212" s="13"/>
      <c r="G212" s="15"/>
      <c r="H212" s="15"/>
      <c r="I212" s="16">
        <f>IF(C212="",0,IF(OR(A212="",A212="DNS"),0,IF(A212="DNF",1,IF(ISNUMBER(A212),IF($I$208="J",IF(A212&lt;=11,VLOOKUP(A212,Punten!$A$2:$C$31,3,FALSE()),1),IF(A212&lt;=30,VLOOKUP(A212,Punten!$A$2:$C$31,2,FALSE()),1)),0))))</f>
        <v>0</v>
      </c>
    </row>
    <row r="213" spans="1:9" x14ac:dyDescent="0.25">
      <c r="A213" s="12"/>
      <c r="B213" s="13"/>
      <c r="C213" s="17"/>
      <c r="D213" s="13"/>
      <c r="E213" s="13"/>
      <c r="F213" s="13"/>
      <c r="G213" s="15"/>
      <c r="H213" s="15"/>
      <c r="I213" s="16">
        <f>IF(C213="",0,IF(OR(A213="",A213="DNS"),0,IF(A213="DNF",1,IF(ISNUMBER(A213),IF($I$208="J",IF(A213&lt;=11,VLOOKUP(A213,Punten!$A$2:$C$31,3,FALSE()),1),IF(A213&lt;=30,VLOOKUP(A213,Punten!$A$2:$C$31,2,FALSE()),1)),0))))</f>
        <v>0</v>
      </c>
    </row>
    <row r="214" spans="1:9" x14ac:dyDescent="0.25">
      <c r="A214" s="12"/>
      <c r="B214" s="13"/>
      <c r="C214" s="17"/>
      <c r="D214" s="13"/>
      <c r="E214" s="13"/>
      <c r="F214" s="13"/>
      <c r="G214" s="15"/>
      <c r="H214" s="15"/>
      <c r="I214" s="16">
        <f>IF(C214="",0,IF(OR(A214="",A214="DNS"),0,IF(A214="DNF",1,IF(ISNUMBER(A214),IF($I$208="J",IF(A214&lt;=11,VLOOKUP(A214,Punten!$A$2:$C$31,3,FALSE()),1),IF(A214&lt;=30,VLOOKUP(A214,Punten!$A$2:$C$31,2,FALSE()),1)),0))))</f>
        <v>0</v>
      </c>
    </row>
    <row r="215" spans="1:9" x14ac:dyDescent="0.25">
      <c r="A215" s="12"/>
      <c r="B215" s="13"/>
      <c r="C215" s="17"/>
      <c r="D215" s="13"/>
      <c r="E215" s="13"/>
      <c r="F215" s="13"/>
      <c r="G215" s="15"/>
      <c r="H215" s="15"/>
      <c r="I215" s="16">
        <f>IF(C215="",0,IF(OR(A215="",A215="DNS"),0,IF(A215="DNF",1,IF(ISNUMBER(A215),IF($I$208="J",IF(A215&lt;=11,VLOOKUP(A215,Punten!$A$2:$C$31,3,FALSE()),1),IF(A215&lt;=30,VLOOKUP(A215,Punten!$A$2:$C$31,2,FALSE()),1)),0))))</f>
        <v>0</v>
      </c>
    </row>
    <row r="216" spans="1:9" x14ac:dyDescent="0.25">
      <c r="A216" s="12"/>
      <c r="B216" s="13"/>
      <c r="C216" s="17"/>
      <c r="D216" s="13"/>
      <c r="E216" s="13"/>
      <c r="F216" s="13"/>
      <c r="G216" s="15"/>
      <c r="H216" s="15"/>
      <c r="I216" s="16">
        <f>IF(C216="",0,IF(OR(A216="",A216="DNS"),0,IF(A216="DNF",1,IF(ISNUMBER(A216),IF($I$208="J",IF(A216&lt;=11,VLOOKUP(A216,Punten!$A$2:$C$31,3,FALSE()),1),IF(A216&lt;=30,VLOOKUP(A216,Punten!$A$2:$C$31,2,FALSE()),1)),0))))</f>
        <v>0</v>
      </c>
    </row>
    <row r="217" spans="1:9" x14ac:dyDescent="0.25">
      <c r="A217" s="12"/>
      <c r="B217" s="13"/>
      <c r="C217" s="17"/>
      <c r="D217" s="13"/>
      <c r="E217" s="13"/>
      <c r="F217" s="13"/>
      <c r="G217" s="15"/>
      <c r="H217" s="15"/>
      <c r="I217" s="16">
        <f>IF(C217="",0,IF(OR(A217="",A217="DNS"),0,IF(A217="DNF",1,IF(ISNUMBER(A217),IF($I$208="J",IF(A217&lt;=11,VLOOKUP(A217,Punten!$A$2:$C$31,3,FALSE()),1),IF(A217&lt;=30,VLOOKUP(A217,Punten!$A$2:$C$31,2,FALSE()),1)),0))))</f>
        <v>0</v>
      </c>
    </row>
    <row r="218" spans="1:9" x14ac:dyDescent="0.25">
      <c r="A218" s="12"/>
      <c r="B218" s="13"/>
      <c r="C218" s="17"/>
      <c r="D218" s="13"/>
      <c r="E218" s="13"/>
      <c r="F218" s="13"/>
      <c r="G218" s="15"/>
      <c r="H218" s="15"/>
      <c r="I218" s="16">
        <f>IF(C218="",0,IF(OR(A218="",A218="DNS"),0,IF(A218="DNF",1,IF(ISNUMBER(A218),IF($I$208="J",IF(A218&lt;=11,VLOOKUP(A218,Punten!$A$2:$C$31,3,FALSE()),1),IF(A218&lt;=30,VLOOKUP(A218,Punten!$A$2:$C$31,2,FALSE()),1)),0))))</f>
        <v>0</v>
      </c>
    </row>
    <row r="219" spans="1:9" x14ac:dyDescent="0.25">
      <c r="A219" s="12"/>
      <c r="B219" s="13"/>
      <c r="C219" s="17"/>
      <c r="D219" s="13"/>
      <c r="E219" s="13"/>
      <c r="F219" s="13"/>
      <c r="G219" s="15"/>
      <c r="H219" s="15"/>
      <c r="I219" s="16">
        <f>IF(C219="",0,IF(OR(A219="",A219="DNS"),0,IF(A219="DNF",1,IF(ISNUMBER(A219),IF($I$208="J",IF(A219&lt;=11,VLOOKUP(A219,Punten!$A$2:$C$31,3,FALSE()),1),IF(A219&lt;=30,VLOOKUP(A219,Punten!$A$2:$C$31,2,FALSE()),1)),0))))</f>
        <v>0</v>
      </c>
    </row>
    <row r="220" spans="1:9" x14ac:dyDescent="0.25">
      <c r="A220" s="12"/>
      <c r="B220" s="13"/>
      <c r="C220" s="17"/>
      <c r="D220" s="13"/>
      <c r="E220" s="13"/>
      <c r="F220" s="13"/>
      <c r="G220" s="15"/>
      <c r="H220" s="15"/>
      <c r="I220" s="16">
        <f>IF(C220="",0,IF(OR(A220="",A220="DNS"),0,IF(A220="DNF",1,IF(ISNUMBER(A220),IF($I$208="J",IF(A220&lt;=11,VLOOKUP(A220,Punten!$A$2:$C$31,3,FALSE()),1),IF(A220&lt;=30,VLOOKUP(A220,Punten!$A$2:$C$31,2,FALSE()),1)),0))))</f>
        <v>0</v>
      </c>
    </row>
    <row r="221" spans="1:9" x14ac:dyDescent="0.25">
      <c r="A221" s="12"/>
      <c r="B221" s="13"/>
      <c r="C221" s="17"/>
      <c r="D221" s="13"/>
      <c r="E221" s="13"/>
      <c r="F221" s="13"/>
      <c r="G221" s="15"/>
      <c r="H221" s="15"/>
      <c r="I221" s="16">
        <f>IF(C221="",0,IF(OR(A221="",A221="DNS"),0,IF(A221="DNF",1,IF(ISNUMBER(A221),IF($I$208="J",IF(A221&lt;=11,VLOOKUP(A221,Punten!$A$2:$C$31,3,FALSE()),1),IF(A221&lt;=30,VLOOKUP(A221,Punten!$A$2:$C$31,2,FALSE()),1)),0))))</f>
        <v>0</v>
      </c>
    </row>
    <row r="222" spans="1:9" x14ac:dyDescent="0.25">
      <c r="A222" s="12"/>
      <c r="B222" s="13"/>
      <c r="C222" s="17"/>
      <c r="D222" s="13"/>
      <c r="E222" s="13"/>
      <c r="F222" s="13"/>
      <c r="G222" s="15"/>
      <c r="H222" s="15"/>
      <c r="I222" s="16">
        <f>IF(C222="",0,IF(OR(A222="",A222="DNS"),0,IF(A222="DNF",1,IF(ISNUMBER(A222),IF($I$208="J",IF(A222&lt;=11,VLOOKUP(A222,Punten!$A$2:$C$31,3,FALSE()),1),IF(A222&lt;=30,VLOOKUP(A222,Punten!$A$2:$C$31,2,FALSE()),1)),0))))</f>
        <v>0</v>
      </c>
    </row>
    <row r="223" spans="1:9" x14ac:dyDescent="0.25">
      <c r="A223" s="12"/>
      <c r="B223" s="13"/>
      <c r="C223" s="17"/>
      <c r="D223" s="13"/>
      <c r="E223" s="13"/>
      <c r="F223" s="13"/>
      <c r="G223" s="15"/>
      <c r="H223" s="15"/>
      <c r="I223" s="16">
        <f>IF(C223="",0,IF(OR(A223="",A223="DNS"),0,IF(A223="DNF",1,IF(ISNUMBER(A223),IF($I$208="J",IF(A223&lt;=11,VLOOKUP(A223,Punten!$A$2:$C$31,3,FALSE()),1),IF(A223&lt;=30,VLOOKUP(A223,Punten!$A$2:$C$31,2,FALSE()),1)),0))))</f>
        <v>0</v>
      </c>
    </row>
    <row r="224" spans="1:9" x14ac:dyDescent="0.25">
      <c r="A224" s="12"/>
      <c r="B224" s="13"/>
      <c r="C224" s="17"/>
      <c r="D224" s="13"/>
      <c r="E224" s="13"/>
      <c r="F224" s="13"/>
      <c r="G224" s="15"/>
      <c r="H224" s="15"/>
      <c r="I224" s="16">
        <f>IF(C224="",0,IF(OR(A224="",A224="DNS"),0,IF(A224="DNF",1,IF(ISNUMBER(A224),IF($I$208="J",IF(A224&lt;=11,VLOOKUP(A224,Punten!$A$2:$C$31,3,FALSE()),1),IF(A224&lt;=30,VLOOKUP(A224,Punten!$A$2:$C$31,2,FALSE()),1)),0))))</f>
        <v>0</v>
      </c>
    </row>
    <row r="225" spans="1:9" x14ac:dyDescent="0.25">
      <c r="A225" s="12"/>
      <c r="B225" s="13"/>
      <c r="C225" s="17"/>
      <c r="D225" s="13"/>
      <c r="E225" s="13"/>
      <c r="F225" s="13"/>
      <c r="G225" s="15"/>
      <c r="H225" s="15"/>
      <c r="I225" s="16">
        <f>IF(C225="",0,IF(OR(A225="",A225="DNS"),0,IF(A225="DNF",1,IF(ISNUMBER(A225),IF($I$208="J",IF(A225&lt;=11,VLOOKUP(A225,Punten!$A$2:$C$31,3,FALSE()),1),IF(A225&lt;=30,VLOOKUP(A225,Punten!$A$2:$C$31,2,FALSE()),1)),0))))</f>
        <v>0</v>
      </c>
    </row>
    <row r="226" spans="1:9" x14ac:dyDescent="0.25">
      <c r="A226" s="12"/>
      <c r="B226" s="13"/>
      <c r="C226" s="17"/>
      <c r="D226" s="13"/>
      <c r="E226" s="13"/>
      <c r="F226" s="13"/>
      <c r="G226" s="15"/>
      <c r="H226" s="15"/>
      <c r="I226" s="16">
        <f>IF(C226="",0,IF(OR(A226="",A226="DNS"),0,IF(A226="DNF",1,IF(ISNUMBER(A226),IF($I$208="J",IF(A226&lt;=11,VLOOKUP(A226,Punten!$A$2:$C$31,3,FALSE()),1),IF(A226&lt;=30,VLOOKUP(A226,Punten!$A$2:$C$31,2,FALSE()),1)),0))))</f>
        <v>0</v>
      </c>
    </row>
    <row r="227" spans="1:9" x14ac:dyDescent="0.25">
      <c r="A227" s="12"/>
      <c r="B227" s="13"/>
      <c r="C227" s="17"/>
      <c r="D227" s="13"/>
      <c r="E227" s="13"/>
      <c r="F227" s="13"/>
      <c r="G227" s="15"/>
      <c r="H227" s="15"/>
      <c r="I227" s="16">
        <f>IF(C227="",0,IF(OR(A227="",A227="DNS"),0,IF(A227="DNF",1,IF(ISNUMBER(A227),IF($I$208="J",IF(A227&lt;=11,VLOOKUP(A227,Punten!$A$2:$C$31,3,FALSE()),1),IF(A227&lt;=30,VLOOKUP(A227,Punten!$A$2:$C$31,2,FALSE()),1)),0))))</f>
        <v>0</v>
      </c>
    </row>
    <row r="228" spans="1:9" x14ac:dyDescent="0.25">
      <c r="A228" s="12"/>
      <c r="B228" s="13"/>
      <c r="C228" s="17"/>
      <c r="D228" s="13"/>
      <c r="E228" s="13"/>
      <c r="F228" s="13"/>
      <c r="G228" s="15"/>
      <c r="H228" s="15"/>
      <c r="I228" s="16">
        <f>IF(C228="",0,IF(OR(A228="",A228="DNS"),0,IF(A228="DNF",1,IF(ISNUMBER(A228),IF($I$208="J",IF(A228&lt;=11,VLOOKUP(A228,Punten!$A$2:$C$31,3,FALSE()),1),IF(A228&lt;=30,VLOOKUP(A228,Punten!$A$2:$C$31,2,FALSE()),1)),0))))</f>
        <v>0</v>
      </c>
    </row>
    <row r="229" spans="1:9" x14ac:dyDescent="0.25">
      <c r="A229" s="12"/>
      <c r="B229" s="13"/>
      <c r="C229" s="17"/>
      <c r="D229" s="13"/>
      <c r="E229" s="13"/>
      <c r="F229" s="13"/>
      <c r="G229" s="15"/>
      <c r="H229" s="15"/>
      <c r="I229" s="16">
        <f>IF(C229="",0,IF(OR(A229="",A229="DNS"),0,IF(A229="DNF",1,IF(ISNUMBER(A229),IF($I$208="J",IF(A229&lt;=11,VLOOKUP(A229,Punten!$A$2:$C$31,3,FALSE()),1),IF(A229&lt;=30,VLOOKUP(A229,Punten!$A$2:$C$31,2,FALSE()),1)),0))))</f>
        <v>0</v>
      </c>
    </row>
    <row r="230" spans="1:9" x14ac:dyDescent="0.25">
      <c r="A230" s="12"/>
      <c r="B230" s="13"/>
      <c r="C230" s="17"/>
      <c r="D230" s="13"/>
      <c r="E230" s="13"/>
      <c r="F230" s="13"/>
      <c r="G230" s="15"/>
      <c r="H230" s="15"/>
      <c r="I230" s="16">
        <f>IF(C230="",0,IF(OR(A230="",A230="DNS"),0,IF(A230="DNF",1,IF(ISNUMBER(A230),IF($I$208="J",IF(A230&lt;=11,VLOOKUP(A230,Punten!$A$2:$C$31,3,FALSE()),1),IF(A230&lt;=30,VLOOKUP(A230,Punten!$A$2:$C$31,2,FALSE()),1)),0))))</f>
        <v>0</v>
      </c>
    </row>
    <row r="231" spans="1:9" x14ac:dyDescent="0.25">
      <c r="A231" s="12"/>
      <c r="B231" s="13"/>
      <c r="C231" s="17"/>
      <c r="D231" s="13"/>
      <c r="E231" s="13"/>
      <c r="F231" s="13"/>
      <c r="G231" s="15"/>
      <c r="H231" s="15"/>
      <c r="I231" s="16">
        <f>IF(C231="",0,IF(OR(A231="",A231="DNS"),0,IF(A231="DNF",1,IF(ISNUMBER(A231),IF($I$208="J",IF(A231&lt;=11,VLOOKUP(A231,Punten!$A$2:$C$31,3,FALSE()),1),IF(A231&lt;=30,VLOOKUP(A231,Punten!$A$2:$C$31,2,FALSE()),1)),0))))</f>
        <v>0</v>
      </c>
    </row>
    <row r="232" spans="1:9" x14ac:dyDescent="0.25">
      <c r="A232" s="12"/>
      <c r="B232" s="13"/>
      <c r="C232" s="17"/>
      <c r="D232" s="13"/>
      <c r="E232" s="13"/>
      <c r="F232" s="13"/>
      <c r="G232" s="15"/>
      <c r="H232" s="15"/>
      <c r="I232" s="16">
        <f>IF(C232="",0,IF(OR(A232="",A232="DNS"),0,IF(A232="DNF",1,IF(ISNUMBER(A232),IF($I$208="J",IF(A232&lt;=11,VLOOKUP(A232,Punten!$A$2:$C$31,3,FALSE()),1),IF(A232&lt;=30,VLOOKUP(A232,Punten!$A$2:$C$31,2,FALSE()),1)),0))))</f>
        <v>0</v>
      </c>
    </row>
    <row r="233" spans="1:9" x14ac:dyDescent="0.25">
      <c r="A233" s="12"/>
      <c r="B233" s="13"/>
      <c r="C233" s="17"/>
      <c r="D233" s="13"/>
      <c r="E233" s="13"/>
      <c r="F233" s="13"/>
      <c r="G233" s="15"/>
      <c r="H233" s="15"/>
      <c r="I233" s="16">
        <f>IF(C233="",0,IF(OR(A233="",A233="DNS"),0,IF(A233="DNF",1,IF(ISNUMBER(A233),IF($I$208="J",IF(A233&lt;=11,VLOOKUP(A233,Punten!$A$2:$C$31,3,FALSE()),1),IF(A233&lt;=30,VLOOKUP(A233,Punten!$A$2:$C$31,2,FALSE()),1)),0))))</f>
        <v>0</v>
      </c>
    </row>
    <row r="234" spans="1:9" x14ac:dyDescent="0.25">
      <c r="A234" s="12"/>
      <c r="B234" s="13"/>
      <c r="C234" s="17"/>
      <c r="D234" s="13"/>
      <c r="E234" s="13"/>
      <c r="F234" s="13"/>
      <c r="G234" s="15"/>
      <c r="H234" s="15"/>
      <c r="I234" s="16">
        <f>IF(C234="",0,IF(OR(A234="",A234="DNS"),0,IF(A234="DNF",1,IF(ISNUMBER(A234),IF($I$208="J",IF(A234&lt;=11,VLOOKUP(A234,Punten!$A$2:$C$31,3,FALSE()),1),IF(A234&lt;=30,VLOOKUP(A234,Punten!$A$2:$C$31,2,FALSE()),1)),0))))</f>
        <v>0</v>
      </c>
    </row>
    <row r="235" spans="1:9" x14ac:dyDescent="0.25">
      <c r="A235" s="12"/>
      <c r="B235" s="13"/>
      <c r="C235" s="17"/>
      <c r="D235" s="13"/>
      <c r="E235" s="13"/>
      <c r="F235" s="13"/>
      <c r="G235" s="15"/>
      <c r="H235" s="15"/>
      <c r="I235" s="16">
        <f>IF(C235="",0,IF(OR(A235="",A235="DNS"),0,IF(A235="DNF",1,IF(ISNUMBER(A235),IF($I$208="J",IF(A235&lt;=11,VLOOKUP(A235,Punten!$A$2:$C$31,3,FALSE()),1),IF(A235&lt;=30,VLOOKUP(A235,Punten!$A$2:$C$31,2,FALSE()),1)),0))))</f>
        <v>0</v>
      </c>
    </row>
    <row r="236" spans="1:9" x14ac:dyDescent="0.25">
      <c r="A236" s="12"/>
      <c r="B236" s="13"/>
      <c r="C236" s="17"/>
      <c r="D236" s="13"/>
      <c r="E236" s="13"/>
      <c r="F236" s="13"/>
      <c r="G236" s="15"/>
      <c r="H236" s="15"/>
      <c r="I236" s="16">
        <f>IF(C236="",0,IF(OR(A236="",A236="DNS"),0,IF(A236="DNF",1,IF(ISNUMBER(A236),IF($I$208="J",IF(A236&lt;=11,VLOOKUP(A236,Punten!$A$2:$C$31,3,FALSE()),1),IF(A236&lt;=30,VLOOKUP(A236,Punten!$A$2:$C$31,2,FALSE()),1)),0))))</f>
        <v>0</v>
      </c>
    </row>
    <row r="237" spans="1:9" x14ac:dyDescent="0.25">
      <c r="A237" s="12"/>
      <c r="B237" s="13"/>
      <c r="C237" s="17"/>
      <c r="D237" s="13"/>
      <c r="E237" s="13"/>
      <c r="F237" s="13"/>
      <c r="G237" s="15"/>
      <c r="H237" s="15"/>
      <c r="I237" s="16">
        <f>IF(C237="",0,IF(OR(A237="",A237="DNS"),0,IF(A237="DNF",1,IF(ISNUMBER(A237),IF($I$208="J",IF(A237&lt;=11,VLOOKUP(A237,Punten!$A$2:$C$31,3,FALSE()),1),IF(A237&lt;=30,VLOOKUP(A237,Punten!$A$2:$C$31,2,FALSE()),1)),0))))</f>
        <v>0</v>
      </c>
    </row>
    <row r="238" spans="1:9" x14ac:dyDescent="0.25">
      <c r="A238" s="12"/>
      <c r="B238" s="13"/>
      <c r="C238" s="17"/>
      <c r="D238" s="13"/>
      <c r="E238" s="13"/>
      <c r="F238" s="13"/>
      <c r="G238" s="15"/>
      <c r="H238" s="15"/>
      <c r="I238" s="16">
        <f>IF(C238="",0,IF(OR(A238="",A238="DNS"),0,IF(A238="DNF",1,IF(ISNUMBER(A238),IF($I$208="J",IF(A238&lt;=11,VLOOKUP(A238,Punten!$A$2:$C$31,3,FALSE()),1),IF(A238&lt;=30,VLOOKUP(A238,Punten!$A$2:$C$31,2,FALSE()),1)),0))))</f>
        <v>0</v>
      </c>
    </row>
    <row r="239" spans="1:9" x14ac:dyDescent="0.25">
      <c r="A239" s="12"/>
      <c r="B239" s="13"/>
      <c r="C239" s="17"/>
      <c r="D239" s="13"/>
      <c r="E239" s="13"/>
      <c r="F239" s="13"/>
      <c r="G239" s="15"/>
      <c r="H239" s="15"/>
      <c r="I239" s="16">
        <f>IF(C239="",0,IF(OR(A239="",A239="DNS"),0,IF(A239="DNF",1,IF(ISNUMBER(A239),IF($I$208="J",IF(A239&lt;=11,VLOOKUP(A239,Punten!$A$2:$C$31,3,FALSE()),1),IF(A239&lt;=30,VLOOKUP(A239,Punten!$A$2:$C$31,2,FALSE()),1)),0))))</f>
        <v>0</v>
      </c>
    </row>
    <row r="240" spans="1:9" x14ac:dyDescent="0.25">
      <c r="A240" s="12"/>
      <c r="B240" s="13"/>
      <c r="C240" s="17"/>
      <c r="D240" s="13"/>
      <c r="E240" s="13"/>
      <c r="F240" s="13"/>
      <c r="G240" s="15"/>
      <c r="H240" s="15"/>
      <c r="I240" s="16">
        <f>IF(C240="",0,IF(OR(A240="",A240="DNS"),0,IF(A240="DNF",1,IF(ISNUMBER(A240),IF($I$208="J",IF(A240&lt;=11,VLOOKUP(A240,Punten!$A$2:$C$31,3,FALSE()),1),IF(A240&lt;=30,VLOOKUP(A240,Punten!$A$2:$C$31,2,FALSE()),1)),0))))</f>
        <v>0</v>
      </c>
    </row>
    <row r="241" spans="1:9" x14ac:dyDescent="0.25">
      <c r="A241" s="12"/>
      <c r="B241" s="13"/>
      <c r="C241" s="17"/>
      <c r="D241" s="13"/>
      <c r="E241" s="13"/>
      <c r="F241" s="13"/>
      <c r="G241" s="15"/>
      <c r="H241" s="15"/>
      <c r="I241" s="16">
        <f>IF(C241="",0,IF(OR(A241="",A241="DNS"),0,IF(A241="DNF",1,IF(ISNUMBER(A241),IF($I$208="J",IF(A241&lt;=11,VLOOKUP(A241,Punten!$A$2:$C$31,3,FALSE()),1),IF(A241&lt;=30,VLOOKUP(A241,Punten!$A$2:$C$31,2,FALSE()),1)),0))))</f>
        <v>0</v>
      </c>
    </row>
    <row r="242" spans="1:9" x14ac:dyDescent="0.25">
      <c r="A242" s="12"/>
      <c r="B242" s="13"/>
      <c r="C242" s="17"/>
      <c r="D242" s="13"/>
      <c r="E242" s="13"/>
      <c r="F242" s="13"/>
      <c r="G242" s="15"/>
      <c r="H242" s="15"/>
      <c r="I242" s="16">
        <f>IF(C242="",0,IF(OR(A242="",A242="DNS"),0,IF(A242="DNF",1,IF(ISNUMBER(A242),IF($I$208="J",IF(A242&lt;=11,VLOOKUP(A242,Punten!$A$2:$C$31,3,FALSE()),1),IF(A242&lt;=30,VLOOKUP(A242,Punten!$A$2:$C$31,2,FALSE()),1)),0))))</f>
        <v>0</v>
      </c>
    </row>
    <row r="243" spans="1:9" x14ac:dyDescent="0.25">
      <c r="A243" s="12"/>
      <c r="B243" s="13"/>
      <c r="C243" s="17"/>
      <c r="D243" s="13"/>
      <c r="E243" s="13"/>
      <c r="F243" s="13"/>
      <c r="G243" s="15"/>
      <c r="H243" s="15"/>
      <c r="I243" s="16">
        <f>IF(C243="",0,IF(OR(A243="",A243="DNS"),0,IF(A243="DNF",1,IF(ISNUMBER(A243),IF($I$208="J",IF(A243&lt;=11,VLOOKUP(A243,Punten!$A$2:$C$31,3,FALSE()),1),IF(A243&lt;=30,VLOOKUP(A243,Punten!$A$2:$C$31,2,FALSE()),1)),0))))</f>
        <v>0</v>
      </c>
    </row>
    <row r="244" spans="1:9" x14ac:dyDescent="0.25">
      <c r="A244" s="12"/>
      <c r="B244" s="13"/>
      <c r="C244" s="17"/>
      <c r="D244" s="13"/>
      <c r="E244" s="13"/>
      <c r="F244" s="13"/>
      <c r="G244" s="15"/>
      <c r="H244" s="15"/>
      <c r="I244" s="16">
        <f>IF(C244="",0,IF(OR(A244="",A244="DNS"),0,IF(A244="DNF",1,IF(ISNUMBER(A244),IF($I$208="J",IF(A244&lt;=11,VLOOKUP(A244,Punten!$A$2:$C$31,3,FALSE()),1),IF(A244&lt;=30,VLOOKUP(A244,Punten!$A$2:$C$31,2,FALSE()),1)),0))))</f>
        <v>0</v>
      </c>
    </row>
    <row r="245" spans="1:9" x14ac:dyDescent="0.25">
      <c r="A245" s="12"/>
      <c r="B245" s="13"/>
      <c r="C245" s="17"/>
      <c r="D245" s="13"/>
      <c r="E245" s="13"/>
      <c r="F245" s="13"/>
      <c r="G245" s="15"/>
      <c r="H245" s="15"/>
      <c r="I245" s="16">
        <f>IF(C245="",0,IF(OR(A245="",A245="DNS"),0,IF(A245="DNF",1,IF(ISNUMBER(A245),IF($I$208="J",IF(A245&lt;=11,VLOOKUP(A245,Punten!$A$2:$C$31,3,FALSE()),1),IF(A245&lt;=30,VLOOKUP(A245,Punten!$A$2:$C$31,2,FALSE()),1)),0))))</f>
        <v>0</v>
      </c>
    </row>
    <row r="246" spans="1:9" x14ac:dyDescent="0.25">
      <c r="A246" s="12"/>
      <c r="B246" s="13"/>
      <c r="C246" s="17"/>
      <c r="D246" s="13"/>
      <c r="E246" s="13"/>
      <c r="F246" s="13"/>
      <c r="G246" s="15"/>
      <c r="H246" s="15"/>
      <c r="I246" s="16">
        <f>IF(C246="",0,IF(OR(A246="",A246="DNS"),0,IF(A246="DNF",1,IF(ISNUMBER(A246),IF($I$208="J",IF(A246&lt;=11,VLOOKUP(A246,Punten!$A$2:$C$31,3,FALSE()),1),IF(A246&lt;=30,VLOOKUP(A246,Punten!$A$2:$C$31,2,FALSE()),1)),0))))</f>
        <v>0</v>
      </c>
    </row>
    <row r="247" spans="1:9" x14ac:dyDescent="0.25">
      <c r="A247" s="12"/>
      <c r="B247" s="13"/>
      <c r="C247" s="17"/>
      <c r="D247" s="13"/>
      <c r="E247" s="13"/>
      <c r="F247" s="13"/>
      <c r="G247" s="15"/>
      <c r="H247" s="15"/>
      <c r="I247" s="16">
        <f>IF(C247="",0,IF(OR(A247="",A247="DNS"),0,IF(A247="DNF",1,IF(ISNUMBER(A247),IF($I$208="J",IF(A247&lt;=11,VLOOKUP(A247,Punten!$A$2:$C$31,3,FALSE()),1),IF(A247&lt;=30,VLOOKUP(A247,Punten!$A$2:$C$31,2,FALSE()),1)),0))))</f>
        <v>0</v>
      </c>
    </row>
    <row r="248" spans="1:9" x14ac:dyDescent="0.25">
      <c r="A248" s="12"/>
      <c r="B248" s="13"/>
      <c r="C248" s="17"/>
      <c r="D248" s="13"/>
      <c r="E248" s="13"/>
      <c r="F248" s="13"/>
      <c r="G248" s="15"/>
      <c r="H248" s="15"/>
      <c r="I248" s="16">
        <f>IF(C248="",0,IF(OR(A248="",A248="DNS"),0,IF(A248="DNF",1,IF(ISNUMBER(A248),IF($I$208="J",IF(A248&lt;=11,VLOOKUP(A248,Punten!$A$2:$C$31,3,FALSE()),1),IF(A248&lt;=30,VLOOKUP(A248,Punten!$A$2:$C$31,2,FALSE()),1)),0))))</f>
        <v>0</v>
      </c>
    </row>
    <row r="249" spans="1:9" x14ac:dyDescent="0.25">
      <c r="A249" s="12"/>
      <c r="B249" s="13"/>
      <c r="C249" s="17"/>
      <c r="D249" s="13"/>
      <c r="E249" s="13"/>
      <c r="F249" s="13"/>
      <c r="G249" s="15"/>
      <c r="H249" s="15"/>
      <c r="I249" s="16">
        <f>IF(C249="",0,IF(OR(A249="",A249="DNS"),0,IF(A249="DNF",1,IF(ISNUMBER(A249),IF($I$208="J",IF(A249&lt;=11,VLOOKUP(A249,Punten!$A$2:$C$31,3,FALSE()),1),IF(A249&lt;=30,VLOOKUP(A249,Punten!$A$2:$C$31,2,FALSE()),1)),0))))</f>
        <v>0</v>
      </c>
    </row>
    <row r="250" spans="1:9" x14ac:dyDescent="0.25">
      <c r="A250" s="12"/>
      <c r="B250" s="13"/>
      <c r="C250" s="17"/>
      <c r="D250" s="13"/>
      <c r="E250" s="13"/>
      <c r="F250" s="13"/>
      <c r="G250" s="15"/>
      <c r="H250" s="15"/>
      <c r="I250" s="16">
        <f>IF(C250="",0,IF(OR(A250="",A250="DNS"),0,IF(A250="DNF",1,IF(ISNUMBER(A250),IF($I$208="J",IF(A250&lt;=11,VLOOKUP(A250,Punten!$A$2:$C$31,3,FALSE()),1),IF(A250&lt;=30,VLOOKUP(A250,Punten!$A$2:$C$31,2,FALSE()),1)),0))))</f>
        <v>0</v>
      </c>
    </row>
    <row r="251" spans="1:9" x14ac:dyDescent="0.25">
      <c r="A251" s="12"/>
      <c r="B251" s="13"/>
      <c r="C251" s="17"/>
      <c r="D251" s="13"/>
      <c r="E251" s="13"/>
      <c r="F251" s="13"/>
      <c r="G251" s="15"/>
      <c r="H251" s="15"/>
      <c r="I251" s="16">
        <f>IF(C251="",0,IF(OR(A251="",A251="DNS"),0,IF(A251="DNF",1,IF(ISNUMBER(A251),IF($I$208="J",IF(A251&lt;=11,VLOOKUP(A251,Punten!$A$2:$C$31,3,FALSE()),1),IF(A251&lt;=30,VLOOKUP(A251,Punten!$A$2:$C$31,2,FALSE()),1)),0))))</f>
        <v>0</v>
      </c>
    </row>
    <row r="252" spans="1:9" x14ac:dyDescent="0.25">
      <c r="A252" s="12"/>
      <c r="B252" s="13"/>
      <c r="C252" s="17"/>
      <c r="D252" s="13"/>
      <c r="E252" s="13"/>
      <c r="F252" s="13"/>
      <c r="G252" s="15"/>
      <c r="H252" s="15"/>
      <c r="I252" s="16">
        <f>IF(C252="",0,IF(OR(A252="",A252="DNS"),0,IF(A252="DNF",1,IF(ISNUMBER(A252),IF($I$208="J",IF(A252&lt;=11,VLOOKUP(A252,Punten!$A$2:$C$31,3,FALSE()),1),IF(A252&lt;=30,VLOOKUP(A252,Punten!$A$2:$C$31,2,FALSE()),1)),0))))</f>
        <v>0</v>
      </c>
    </row>
    <row r="253" spans="1:9" x14ac:dyDescent="0.25">
      <c r="A253" s="12"/>
      <c r="B253" s="13"/>
      <c r="C253" s="17"/>
      <c r="D253" s="13"/>
      <c r="E253" s="13"/>
      <c r="F253" s="13"/>
      <c r="G253" s="15"/>
      <c r="H253" s="15"/>
      <c r="I253" s="16">
        <f>IF(C253="",0,IF(OR(A253="",A253="DNS"),0,IF(A253="DNF",1,IF(ISNUMBER(A253),IF($I$208="J",IF(A253&lt;=11,VLOOKUP(A253,Punten!$A$2:$C$31,3,FALSE()),1),IF(A253&lt;=30,VLOOKUP(A253,Punten!$A$2:$C$31,2,FALSE()),1)),0))))</f>
        <v>0</v>
      </c>
    </row>
    <row r="254" spans="1:9" x14ac:dyDescent="0.25">
      <c r="A254" s="12"/>
      <c r="B254" s="13"/>
      <c r="C254" s="17"/>
      <c r="D254" s="13"/>
      <c r="E254" s="13"/>
      <c r="F254" s="13"/>
      <c r="G254" s="15"/>
      <c r="H254" s="15"/>
      <c r="I254" s="16">
        <f>IF(C254="",0,IF(OR(A254="",A254="DNS"),0,IF(A254="DNF",1,IF(ISNUMBER(A254),IF($I$208="J",IF(A254&lt;=11,VLOOKUP(A254,Punten!$A$2:$C$31,3,FALSE()),1),IF(A254&lt;=30,VLOOKUP(A254,Punten!$A$2:$C$31,2,FALSE()),1)),0))))</f>
        <v>0</v>
      </c>
    </row>
    <row r="255" spans="1:9" x14ac:dyDescent="0.25">
      <c r="A255" s="12"/>
      <c r="B255" s="13"/>
      <c r="C255" s="17"/>
      <c r="D255" s="13"/>
      <c r="E255" s="13"/>
      <c r="F255" s="13"/>
      <c r="G255" s="15"/>
      <c r="H255" s="15"/>
      <c r="I255" s="16">
        <f>IF(C255="",0,IF(OR(A255="",A255="DNS"),0,IF(A255="DNF",1,IF(ISNUMBER(A255),IF($I$208="J",IF(A255&lt;=11,VLOOKUP(A255,Punten!$A$2:$C$31,3,FALSE()),1),IF(A255&lt;=30,VLOOKUP(A255,Punten!$A$2:$C$31,2,FALSE()),1)),0))))</f>
        <v>0</v>
      </c>
    </row>
    <row r="256" spans="1:9" x14ac:dyDescent="0.25">
      <c r="A256" s="12"/>
      <c r="B256" s="13"/>
      <c r="C256" s="17"/>
      <c r="D256" s="13"/>
      <c r="E256" s="13"/>
      <c r="F256" s="13"/>
      <c r="G256" s="15"/>
      <c r="H256" s="15"/>
      <c r="I256" s="16">
        <f>IF(C256="",0,IF(OR(A256="",A256="DNS"),0,IF(A256="DNF",1,IF(ISNUMBER(A256),IF($I$208="J",IF(A256&lt;=11,VLOOKUP(A256,Punten!$A$2:$C$31,3,FALSE()),1),IF(A256&lt;=30,VLOOKUP(A256,Punten!$A$2:$C$31,2,FALSE()),1)),0))))</f>
        <v>0</v>
      </c>
    </row>
    <row r="257" spans="1:9" x14ac:dyDescent="0.25">
      <c r="A257" s="12"/>
      <c r="B257" s="13"/>
      <c r="C257" s="17"/>
      <c r="D257" s="13"/>
      <c r="E257" s="13"/>
      <c r="F257" s="13"/>
      <c r="G257" s="15"/>
      <c r="H257" s="15"/>
      <c r="I257" s="16">
        <f>IF(C257="",0,IF(OR(A257="",A257="DNS"),0,IF(A257="DNF",1,IF(ISNUMBER(A257),IF($I$208="J",IF(A257&lt;=11,VLOOKUP(A257,Punten!$A$2:$C$31,3,FALSE()),1),IF(A257&lt;=30,VLOOKUP(A257,Punten!$A$2:$C$31,2,FALSE()),1)),0))))</f>
        <v>0</v>
      </c>
    </row>
    <row r="258" spans="1:9" x14ac:dyDescent="0.25">
      <c r="A258" s="12"/>
      <c r="B258" s="13"/>
      <c r="C258" s="17"/>
      <c r="D258" s="13"/>
      <c r="E258" s="13"/>
      <c r="F258" s="13"/>
      <c r="G258" s="15"/>
      <c r="H258" s="15"/>
      <c r="I258" s="16">
        <f>IF(C258="",0,IF(OR(A258="",A258="DNS"),0,IF(A258="DNF",1,IF(ISNUMBER(A258),IF($I$208="J",IF(A258&lt;=11,VLOOKUP(A258,Punten!$A$2:$C$31,3,FALSE()),1),IF(A258&lt;=30,VLOOKUP(A258,Punten!$A$2:$C$31,2,FALSE()),1)),0))))</f>
        <v>0</v>
      </c>
    </row>
    <row r="259" spans="1:9" x14ac:dyDescent="0.25">
      <c r="A259" s="12"/>
      <c r="B259" s="13"/>
      <c r="C259" s="17"/>
      <c r="D259" s="13"/>
      <c r="E259" s="13"/>
      <c r="F259" s="13"/>
      <c r="G259" s="15"/>
      <c r="H259" s="15"/>
      <c r="I259" s="16">
        <f>IF(C259="",0,IF(OR(A259="",A259="DNS"),0,IF(A259="DNF",1,IF(ISNUMBER(A259),IF($I$208="J",IF(A259&lt;=11,VLOOKUP(A259,Punten!$A$2:$C$31,3,FALSE()),1),IF(A259&lt;=30,VLOOKUP(A259,Punten!$A$2:$C$31,2,FALSE()),1)),0))))</f>
        <v>0</v>
      </c>
    </row>
    <row r="260" spans="1:9" x14ac:dyDescent="0.25">
      <c r="A260" s="12"/>
      <c r="B260" s="13"/>
      <c r="C260" s="17"/>
      <c r="D260" s="13"/>
      <c r="E260" s="13"/>
      <c r="F260" s="13"/>
      <c r="G260" s="15"/>
      <c r="H260" s="15"/>
      <c r="I260" s="16">
        <f>IF(C260="",0,IF(OR(A260="",A260="DNS"),0,IF(A260="DNF",1,IF(ISNUMBER(A260),IF($I$208="J",IF(A260&lt;=11,VLOOKUP(A260,Punten!$A$2:$C$31,3,FALSE()),1),IF(A260&lt;=30,VLOOKUP(A260,Punten!$A$2:$C$31,2,FALSE()),1)),0))))</f>
        <v>0</v>
      </c>
    </row>
    <row r="261" spans="1:9" x14ac:dyDescent="0.25">
      <c r="A261" s="12"/>
      <c r="B261" s="13"/>
      <c r="C261" s="17"/>
      <c r="D261" s="13"/>
      <c r="E261" s="13"/>
      <c r="F261" s="13"/>
      <c r="G261" s="15"/>
      <c r="H261" s="15"/>
      <c r="I261" s="16">
        <f>IF(C261="",0,IF(OR(A261="",A261="DNS"),0,IF(A261="DNF",1,IF(ISNUMBER(A261),IF($I$208="J",IF(A261&lt;=11,VLOOKUP(A261,Punten!$A$2:$C$31,3,FALSE()),1),IF(A261&lt;=30,VLOOKUP(A261,Punten!$A$2:$C$31,2,FALSE()),1)),0))))</f>
        <v>0</v>
      </c>
    </row>
    <row r="262" spans="1:9" x14ac:dyDescent="0.25">
      <c r="A262" s="12"/>
      <c r="B262" s="13"/>
      <c r="C262" s="17"/>
      <c r="D262" s="13"/>
      <c r="E262" s="13"/>
      <c r="F262" s="13"/>
      <c r="G262" s="15"/>
      <c r="H262" s="15"/>
      <c r="I262" s="16">
        <f>IF(C262="",0,IF(OR(A262="",A262="DNS"),0,IF(A262="DNF",1,IF(ISNUMBER(A262),IF($I$208="J",IF(A262&lt;=11,VLOOKUP(A262,Punten!$A$2:$C$31,3,FALSE()),1),IF(A262&lt;=30,VLOOKUP(A262,Punten!$A$2:$C$31,2,FALSE()),1)),0))))</f>
        <v>0</v>
      </c>
    </row>
    <row r="263" spans="1:9" x14ac:dyDescent="0.25">
      <c r="A263" s="12"/>
      <c r="B263" s="13"/>
      <c r="C263" s="17"/>
      <c r="D263" s="13"/>
      <c r="E263" s="13"/>
      <c r="F263" s="13"/>
      <c r="G263" s="15"/>
      <c r="H263" s="15"/>
      <c r="I263" s="16">
        <f>IF(C263="",0,IF(OR(A263="",A263="DNS"),0,IF(A263="DNF",1,IF(ISNUMBER(A263),IF($I$208="J",IF(A263&lt;=11,VLOOKUP(A263,Punten!$A$2:$C$31,3,FALSE()),1),IF(A263&lt;=30,VLOOKUP(A263,Punten!$A$2:$C$31,2,FALSE()),1)),0))))</f>
        <v>0</v>
      </c>
    </row>
    <row r="264" spans="1:9" x14ac:dyDescent="0.25">
      <c r="A264" s="12"/>
      <c r="B264" s="13"/>
      <c r="C264" s="17"/>
      <c r="D264" s="13"/>
      <c r="E264" s="13"/>
      <c r="F264" s="13"/>
      <c r="G264" s="15"/>
      <c r="H264" s="15"/>
      <c r="I264" s="16">
        <f>IF(C264="",0,IF(OR(A264="",A264="DNS"),0,IF(A264="DNF",1,IF(ISNUMBER(A264),IF($I$208="J",IF(A264&lt;=11,VLOOKUP(A264,Punten!$A$2:$C$31,3,FALSE()),1),IF(A264&lt;=30,VLOOKUP(A264,Punten!$A$2:$C$31,2,FALSE()),1)),0))))</f>
        <v>0</v>
      </c>
    </row>
    <row r="265" spans="1:9" x14ac:dyDescent="0.25">
      <c r="A265" s="12"/>
      <c r="B265" s="13"/>
      <c r="C265" s="17"/>
      <c r="D265" s="13"/>
      <c r="E265" s="13"/>
      <c r="F265" s="13"/>
      <c r="G265" s="15"/>
      <c r="H265" s="15"/>
      <c r="I265" s="16">
        <f>IF(C265="",0,IF(OR(A265="",A265="DNS"),0,IF(A265="DNF",1,IF(ISNUMBER(A265),IF($I$208="J",IF(A265&lt;=11,VLOOKUP(A265,Punten!$A$2:$C$31,3,FALSE()),1),IF(A265&lt;=30,VLOOKUP(A265,Punten!$A$2:$C$31,2,FALSE()),1)),0))))</f>
        <v>0</v>
      </c>
    </row>
    <row r="266" spans="1:9" x14ac:dyDescent="0.25">
      <c r="A266" s="12"/>
      <c r="B266" s="13"/>
      <c r="C266" s="17"/>
      <c r="D266" s="13"/>
      <c r="E266" s="13"/>
      <c r="F266" s="13"/>
      <c r="G266" s="15"/>
      <c r="H266" s="15"/>
      <c r="I266" s="16">
        <f>IF(C266="",0,IF(OR(A266="",A266="DNS"),0,IF(A266="DNF",1,IF(ISNUMBER(A266),IF($I$208="J",IF(A266&lt;=11,VLOOKUP(A266,Punten!$A$2:$C$31,3,FALSE()),1),IF(A266&lt;=30,VLOOKUP(A266,Punten!$A$2:$C$31,2,FALSE()),1)),0))))</f>
        <v>0</v>
      </c>
    </row>
    <row r="267" spans="1:9" x14ac:dyDescent="0.25">
      <c r="A267" s="12"/>
      <c r="B267" s="13"/>
      <c r="C267" s="17"/>
      <c r="D267" s="13"/>
      <c r="E267" s="13"/>
      <c r="F267" s="13"/>
      <c r="G267" s="15"/>
      <c r="H267" s="15"/>
      <c r="I267" s="16">
        <f>IF(C267="",0,IF(OR(A267="",A267="DNS"),0,IF(A267="DNF",1,IF(ISNUMBER(A267),IF($I$208="J",IF(A267&lt;=11,VLOOKUP(A267,Punten!$A$2:$C$31,3,FALSE()),1),IF(A267&lt;=30,VLOOKUP(A267,Punten!$A$2:$C$31,2,FALSE()),1)),0))))</f>
        <v>0</v>
      </c>
    </row>
    <row r="268" spans="1:9" x14ac:dyDescent="0.25">
      <c r="A268" s="12"/>
      <c r="B268" s="13"/>
      <c r="C268" s="17"/>
      <c r="D268" s="13"/>
      <c r="E268" s="13"/>
      <c r="F268" s="13"/>
      <c r="G268" s="15"/>
      <c r="H268" s="15"/>
      <c r="I268" s="16">
        <f>IF(C268="",0,IF(OR(A268="",A268="DNS"),0,IF(A268="DNF",1,IF(ISNUMBER(A268),IF($I$208="J",IF(A268&lt;=11,VLOOKUP(A268,Punten!$A$2:$C$31,3,FALSE()),1),IF(A268&lt;=30,VLOOKUP(A268,Punten!$A$2:$C$31,2,FALSE()),1)),0))))</f>
        <v>0</v>
      </c>
    </row>
    <row r="269" spans="1:9" x14ac:dyDescent="0.25">
      <c r="A269" s="12"/>
      <c r="B269" s="13"/>
      <c r="C269" s="17"/>
      <c r="D269" s="13"/>
      <c r="E269" s="13"/>
      <c r="F269" s="13"/>
      <c r="G269" s="15"/>
      <c r="H269" s="15"/>
      <c r="I269" s="16">
        <f>IF(C269="",0,IF(OR(A269="",A269="DNS"),0,IF(A269="DNF",1,IF(ISNUMBER(A269),IF($I$208="J",IF(A269&lt;=11,VLOOKUP(A269,Punten!$A$2:$C$31,3,FALSE()),1),IF(A269&lt;=30,VLOOKUP(A269,Punten!$A$2:$C$31,2,FALSE()),1)),0))))</f>
        <v>0</v>
      </c>
    </row>
    <row r="270" spans="1:9" x14ac:dyDescent="0.25">
      <c r="A270" s="12"/>
      <c r="B270" s="13"/>
      <c r="C270" s="17"/>
      <c r="D270" s="13"/>
      <c r="E270" s="13"/>
      <c r="F270" s="13"/>
      <c r="G270" s="15"/>
      <c r="H270" s="15"/>
      <c r="I270" s="16">
        <f>IF(C270="",0,IF(OR(A270="",A270="DNS"),0,IF(A270="DNF",1,IF(ISNUMBER(A270),IF($I$208="J",IF(A270&lt;=11,VLOOKUP(A270,Punten!$A$2:$C$31,3,FALSE()),1),IF(A270&lt;=30,VLOOKUP(A270,Punten!$A$2:$C$31,2,FALSE()),1)),0))))</f>
        <v>0</v>
      </c>
    </row>
    <row r="271" spans="1:9" x14ac:dyDescent="0.25">
      <c r="A271" s="12"/>
      <c r="B271" s="13"/>
      <c r="C271" s="17"/>
      <c r="D271" s="13"/>
      <c r="E271" s="13"/>
      <c r="F271" s="13"/>
      <c r="G271" s="15"/>
      <c r="H271" s="15"/>
      <c r="I271" s="16">
        <f>IF(C271="",0,IF(OR(A271="",A271="DNS"),0,IF(A271="DNF",1,IF(ISNUMBER(A271),IF($I$208="J",IF(A271&lt;=11,VLOOKUP(A271,Punten!$A$2:$C$31,3,FALSE()),1),IF(A271&lt;=30,VLOOKUP(A271,Punten!$A$2:$C$31,2,FALSE()),1)),0))))</f>
        <v>0</v>
      </c>
    </row>
    <row r="272" spans="1:9" x14ac:dyDescent="0.25">
      <c r="A272" s="12"/>
      <c r="B272" s="13"/>
      <c r="C272" s="17"/>
      <c r="D272" s="13"/>
      <c r="E272" s="13"/>
      <c r="F272" s="13"/>
      <c r="G272" s="15"/>
      <c r="H272" s="15"/>
      <c r="I272" s="16">
        <f>IF(C272="",0,IF(OR(A272="",A272="DNS"),0,IF(A272="DNF",1,IF(ISNUMBER(A272),IF($I$208="J",IF(A272&lt;=11,VLOOKUP(A272,Punten!$A$2:$C$31,3,FALSE()),1),IF(A272&lt;=30,VLOOKUP(A272,Punten!$A$2:$C$31,2,FALSE()),1)),0))))</f>
        <v>0</v>
      </c>
    </row>
    <row r="273" spans="1:9" x14ac:dyDescent="0.25">
      <c r="A273" s="12"/>
      <c r="B273" s="13"/>
      <c r="C273" s="17"/>
      <c r="D273" s="13"/>
      <c r="E273" s="13"/>
      <c r="F273" s="13"/>
      <c r="G273" s="15"/>
      <c r="H273" s="15"/>
      <c r="I273" s="16">
        <f>IF(C273="",0,IF(OR(A273="",A273="DNS"),0,IF(A273="DNF",1,IF(ISNUMBER(A273),IF($I$208="J",IF(A273&lt;=11,VLOOKUP(A273,Punten!$A$2:$C$31,3,FALSE()),1),IF(A273&lt;=30,VLOOKUP(A273,Punten!$A$2:$C$31,2,FALSE()),1)),0))))</f>
        <v>0</v>
      </c>
    </row>
    <row r="274" spans="1:9" x14ac:dyDescent="0.25">
      <c r="A274" s="12"/>
      <c r="B274" s="13"/>
      <c r="C274" s="17"/>
      <c r="D274" s="13"/>
      <c r="E274" s="13"/>
      <c r="F274" s="13"/>
      <c r="G274" s="15"/>
      <c r="H274" s="15"/>
      <c r="I274" s="16">
        <f>IF(C274="",0,IF(OR(A274="",A274="DNS"),0,IF(A274="DNF",1,IF(ISNUMBER(A274),IF($I$208="J",IF(A274&lt;=11,VLOOKUP(A274,Punten!$A$2:$C$31,3,FALSE()),1),IF(A274&lt;=30,VLOOKUP(A274,Punten!$A$2:$C$31,2,FALSE()),1)),0))))</f>
        <v>0</v>
      </c>
    </row>
    <row r="275" spans="1:9" x14ac:dyDescent="0.25">
      <c r="A275" s="12"/>
      <c r="B275" s="13"/>
      <c r="C275" s="17"/>
      <c r="D275" s="13"/>
      <c r="E275" s="13"/>
      <c r="F275" s="13"/>
      <c r="G275" s="15"/>
      <c r="H275" s="15"/>
      <c r="I275" s="16">
        <f>IF(C275="",0,IF(OR(A275="",A275="DNS"),0,IF(A275="DNF",1,IF(ISNUMBER(A275),IF($I$208="J",IF(A275&lt;=11,VLOOKUP(A275,Punten!$A$2:$C$31,3,FALSE()),1),IF(A275&lt;=30,VLOOKUP(A275,Punten!$A$2:$C$31,2,FALSE()),1)),0))))</f>
        <v>0</v>
      </c>
    </row>
    <row r="276" spans="1:9" x14ac:dyDescent="0.25">
      <c r="A276" s="12"/>
      <c r="B276" s="13"/>
      <c r="C276" s="17"/>
      <c r="D276" s="13"/>
      <c r="E276" s="13"/>
      <c r="F276" s="13"/>
      <c r="G276" s="15"/>
      <c r="H276" s="15"/>
      <c r="I276" s="16">
        <f>IF(C276="",0,IF(OR(A276="",A276="DNS"),0,IF(A276="DNF",1,IF(ISNUMBER(A276),IF($I$208="J",IF(A276&lt;=11,VLOOKUP(A276,Punten!$A$2:$C$31,3,FALSE()),1),IF(A276&lt;=30,VLOOKUP(A276,Punten!$A$2:$C$31,2,FALSE()),1)),0))))</f>
        <v>0</v>
      </c>
    </row>
    <row r="277" spans="1:9" x14ac:dyDescent="0.25">
      <c r="A277" s="12"/>
      <c r="B277" s="13"/>
      <c r="C277" s="17"/>
      <c r="D277" s="13"/>
      <c r="E277" s="13"/>
      <c r="F277" s="13"/>
      <c r="G277" s="15"/>
      <c r="H277" s="15"/>
      <c r="I277" s="16">
        <f>IF(C277="",0,IF(OR(A277="",A277="DNS"),0,IF(A277="DNF",1,IF(ISNUMBER(A277),IF($I$208="J",IF(A277&lt;=11,VLOOKUP(A277,Punten!$A$2:$C$31,3,FALSE()),1),IF(A277&lt;=30,VLOOKUP(A277,Punten!$A$2:$C$31,2,FALSE()),1)),0))))</f>
        <v>0</v>
      </c>
    </row>
    <row r="278" spans="1:9" x14ac:dyDescent="0.25">
      <c r="A278" s="12"/>
      <c r="B278" s="13"/>
      <c r="C278" s="17"/>
      <c r="D278" s="13"/>
      <c r="E278" s="13"/>
      <c r="F278" s="13"/>
      <c r="G278" s="15"/>
      <c r="H278" s="15"/>
      <c r="I278" s="16">
        <f>IF(C278="",0,IF(OR(A278="",A278="DNS"),0,IF(A278="DNF",1,IF(ISNUMBER(A278),IF($I$208="J",IF(A278&lt;=11,VLOOKUP(A278,Punten!$A$2:$C$31,3,FALSE()),1),IF(A278&lt;=30,VLOOKUP(A278,Punten!$A$2:$C$31,2,FALSE()),1)),0))))</f>
        <v>0</v>
      </c>
    </row>
    <row r="279" spans="1:9" x14ac:dyDescent="0.25">
      <c r="A279" s="12"/>
      <c r="B279" s="13"/>
      <c r="C279" s="17"/>
      <c r="D279" s="13"/>
      <c r="E279" s="13"/>
      <c r="F279" s="13"/>
      <c r="G279" s="15"/>
      <c r="H279" s="15"/>
      <c r="I279" s="16">
        <f>IF(C279="",0,IF(OR(A279="",A279="DNS"),0,IF(A279="DNF",1,IF(ISNUMBER(A279),IF($I$208="J",IF(A279&lt;=11,VLOOKUP(A279,Punten!$A$2:$C$31,3,FALSE()),1),IF(A279&lt;=30,VLOOKUP(A279,Punten!$A$2:$C$31,2,FALSE()),1)),0))))</f>
        <v>0</v>
      </c>
    </row>
    <row r="280" spans="1:9" x14ac:dyDescent="0.25">
      <c r="A280" s="12"/>
      <c r="B280" s="13"/>
      <c r="C280" s="17"/>
      <c r="D280" s="13"/>
      <c r="E280" s="13"/>
      <c r="F280" s="13"/>
      <c r="G280" s="15"/>
      <c r="H280" s="15"/>
      <c r="I280" s="16">
        <f>IF(C280="",0,IF(OR(A280="",A280="DNS"),0,IF(A280="DNF",1,IF(ISNUMBER(A280),IF($I$208="J",IF(A280&lt;=11,VLOOKUP(A280,Punten!$A$2:$C$31,3,FALSE()),1),IF(A280&lt;=30,VLOOKUP(A280,Punten!$A$2:$C$31,2,FALSE()),1)),0))))</f>
        <v>0</v>
      </c>
    </row>
    <row r="281" spans="1:9" x14ac:dyDescent="0.25">
      <c r="A281" s="12"/>
      <c r="B281" s="13"/>
      <c r="C281" s="17"/>
      <c r="D281" s="13"/>
      <c r="E281" s="13"/>
      <c r="F281" s="13"/>
      <c r="G281" s="15"/>
      <c r="H281" s="15"/>
      <c r="I281" s="16">
        <f>IF(C281="",0,IF(OR(A281="",A281="DNS"),0,IF(A281="DNF",1,IF(ISNUMBER(A281),IF($I$208="J",IF(A281&lt;=11,VLOOKUP(A281,Punten!$A$2:$C$31,3,FALSE()),1),IF(A281&lt;=30,VLOOKUP(A281,Punten!$A$2:$C$31,2,FALSE()),1)),0))))</f>
        <v>0</v>
      </c>
    </row>
    <row r="282" spans="1:9" x14ac:dyDescent="0.25">
      <c r="A282" s="12"/>
      <c r="B282" s="13"/>
      <c r="C282" s="17"/>
      <c r="D282" s="13"/>
      <c r="E282" s="13"/>
      <c r="F282" s="13"/>
      <c r="G282" s="15"/>
      <c r="H282" s="15"/>
      <c r="I282" s="16">
        <f>IF(C282="",0,IF(OR(A282="",A282="DNS"),0,IF(A282="DNF",1,IF(ISNUMBER(A282),IF($I$208="J",IF(A282&lt;=11,VLOOKUP(A282,Punten!$A$2:$C$31,3,FALSE()),1),IF(A282&lt;=30,VLOOKUP(A282,Punten!$A$2:$C$31,2,FALSE()),1)),0))))</f>
        <v>0</v>
      </c>
    </row>
    <row r="283" spans="1:9" x14ac:dyDescent="0.25">
      <c r="A283" s="12"/>
      <c r="B283" s="13"/>
      <c r="C283" s="17"/>
      <c r="D283" s="13"/>
      <c r="E283" s="13"/>
      <c r="F283" s="13"/>
      <c r="G283" s="15"/>
      <c r="H283" s="15"/>
      <c r="I283" s="16">
        <f>IF(C283="",0,IF(OR(A283="",A283="DNS"),0,IF(A283="DNF",1,IF(ISNUMBER(A283),IF($I$208="J",IF(A283&lt;=11,VLOOKUP(A283,Punten!$A$2:$C$31,3,FALSE()),1),IF(A283&lt;=30,VLOOKUP(A283,Punten!$A$2:$C$31,2,FALSE()),1)),0))))</f>
        <v>0</v>
      </c>
    </row>
    <row r="284" spans="1:9" x14ac:dyDescent="0.25">
      <c r="A284" s="12"/>
      <c r="B284" s="13"/>
      <c r="C284" s="17"/>
      <c r="D284" s="13"/>
      <c r="E284" s="13"/>
      <c r="F284" s="13"/>
      <c r="G284" s="15"/>
      <c r="H284" s="15"/>
      <c r="I284" s="16">
        <f>IF(C284="",0,IF(OR(A284="",A284="DNS"),0,IF(A284="DNF",1,IF(ISNUMBER(A284),IF($I$208="J",IF(A284&lt;=11,VLOOKUP(A284,Punten!$A$2:$C$31,3,FALSE()),1),IF(A284&lt;=30,VLOOKUP(A284,Punten!$A$2:$C$31,2,FALSE()),1)),0))))</f>
        <v>0</v>
      </c>
    </row>
    <row r="285" spans="1:9" x14ac:dyDescent="0.25">
      <c r="A285" s="12"/>
      <c r="B285" s="13"/>
      <c r="C285" s="17"/>
      <c r="D285" s="13"/>
      <c r="E285" s="13"/>
      <c r="F285" s="13"/>
      <c r="G285" s="15"/>
      <c r="H285" s="15"/>
      <c r="I285" s="16">
        <f>IF(C285="",0,IF(OR(A285="",A285="DNS"),0,IF(A285="DNF",1,IF(ISNUMBER(A285),IF($I$208="J",IF(A285&lt;=11,VLOOKUP(A285,Punten!$A$2:$C$31,3,FALSE()),1),IF(A285&lt;=30,VLOOKUP(A285,Punten!$A$2:$C$31,2,FALSE()),1)),0))))</f>
        <v>0</v>
      </c>
    </row>
    <row r="286" spans="1:9" x14ac:dyDescent="0.25">
      <c r="A286" s="12"/>
      <c r="B286" s="13"/>
      <c r="C286" s="17"/>
      <c r="D286" s="13"/>
      <c r="E286" s="13"/>
      <c r="F286" s="13"/>
      <c r="G286" s="15"/>
      <c r="H286" s="15"/>
      <c r="I286" s="16">
        <f>IF(C286="",0,IF(OR(A286="",A286="DNS"),0,IF(A286="DNF",1,IF(ISNUMBER(A286),IF($I$208="J",IF(A286&lt;=11,VLOOKUP(A286,Punten!$A$2:$C$31,3,FALSE()),1),IF(A286&lt;=30,VLOOKUP(A286,Punten!$A$2:$C$31,2,FALSE()),1)),0))))</f>
        <v>0</v>
      </c>
    </row>
    <row r="287" spans="1:9" x14ac:dyDescent="0.25">
      <c r="A287" s="12"/>
      <c r="B287" s="13"/>
      <c r="C287" s="17"/>
      <c r="D287" s="13"/>
      <c r="E287" s="13"/>
      <c r="F287" s="13"/>
      <c r="G287" s="15"/>
      <c r="H287" s="15"/>
      <c r="I287" s="16">
        <f>IF(C287="",0,IF(OR(A287="",A287="DNS"),0,IF(A287="DNF",1,IF(ISNUMBER(A287),IF($I$208="J",IF(A287&lt;=11,VLOOKUP(A287,Punten!$A$2:$C$31,3,FALSE()),1),IF(A287&lt;=30,VLOOKUP(A287,Punten!$A$2:$C$31,2,FALSE()),1)),0))))</f>
        <v>0</v>
      </c>
    </row>
    <row r="288" spans="1:9" x14ac:dyDescent="0.25">
      <c r="A288" s="12"/>
      <c r="B288" s="13"/>
      <c r="C288" s="17"/>
      <c r="D288" s="13"/>
      <c r="E288" s="13"/>
      <c r="F288" s="13"/>
      <c r="G288" s="15"/>
      <c r="H288" s="15"/>
      <c r="I288" s="16">
        <f>IF(C288="",0,IF(OR(A288="",A288="DNS"),0,IF(A288="DNF",1,IF(ISNUMBER(A288),IF($I$208="J",IF(A288&lt;=11,VLOOKUP(A288,Punten!$A$2:$C$31,3,FALSE()),1),IF(A288&lt;=30,VLOOKUP(A288,Punten!$A$2:$C$31,2,FALSE()),1)),0))))</f>
        <v>0</v>
      </c>
    </row>
    <row r="289" spans="1:9" x14ac:dyDescent="0.25">
      <c r="A289" s="12"/>
      <c r="B289" s="13"/>
      <c r="C289" s="17"/>
      <c r="D289" s="13"/>
      <c r="E289" s="13"/>
      <c r="F289" s="13"/>
      <c r="G289" s="15"/>
      <c r="H289" s="15"/>
      <c r="I289" s="16">
        <f>IF(C289="",0,IF(OR(A289="",A289="DNS"),0,IF(A289="DNF",1,IF(ISNUMBER(A289),IF($I$208="J",IF(A289&lt;=11,VLOOKUP(A289,Punten!$A$2:$C$31,3,FALSE()),1),IF(A289&lt;=30,VLOOKUP(A289,Punten!$A$2:$C$31,2,FALSE()),1)),0))))</f>
        <v>0</v>
      </c>
    </row>
    <row r="290" spans="1:9" x14ac:dyDescent="0.25">
      <c r="A290" s="12"/>
      <c r="B290" s="13"/>
      <c r="C290" s="17"/>
      <c r="D290" s="13"/>
      <c r="E290" s="13"/>
      <c r="F290" s="13"/>
      <c r="G290" s="15"/>
      <c r="H290" s="15"/>
      <c r="I290" s="16">
        <f>IF(C290="",0,IF(OR(A290="",A290="DNS"),0,IF(A290="DNF",1,IF(ISNUMBER(A290),IF($I$208="J",IF(A290&lt;=11,VLOOKUP(A290,Punten!$A$2:$C$31,3,FALSE()),1),IF(A290&lt;=30,VLOOKUP(A290,Punten!$A$2:$C$31,2,FALSE()),1)),0))))</f>
        <v>0</v>
      </c>
    </row>
    <row r="291" spans="1:9" x14ac:dyDescent="0.25">
      <c r="A291" s="12"/>
      <c r="B291" s="13"/>
      <c r="C291" s="17"/>
      <c r="D291" s="13"/>
      <c r="E291" s="13"/>
      <c r="F291" s="13"/>
      <c r="G291" s="15"/>
      <c r="H291" s="15"/>
      <c r="I291" s="16">
        <f>IF(C291="",0,IF(OR(A291="",A291="DNS"),0,IF(A291="DNF",1,IF(ISNUMBER(A291),IF($I$208="J",IF(A291&lt;=11,VLOOKUP(A291,Punten!$A$2:$C$31,3,FALSE()),1),IF(A291&lt;=30,VLOOKUP(A291,Punten!$A$2:$C$31,2,FALSE()),1)),0))))</f>
        <v>0</v>
      </c>
    </row>
    <row r="292" spans="1:9" x14ac:dyDescent="0.25">
      <c r="A292" s="12"/>
      <c r="B292" s="13"/>
      <c r="C292" s="17"/>
      <c r="D292" s="13"/>
      <c r="E292" s="13"/>
      <c r="F292" s="13"/>
      <c r="G292" s="15"/>
      <c r="H292" s="15"/>
      <c r="I292" s="16">
        <f>IF(C292="",0,IF(OR(A292="",A292="DNS"),0,IF(A292="DNF",1,IF(ISNUMBER(A292),IF($I$208="J",IF(A292&lt;=11,VLOOKUP(A292,Punten!$A$2:$C$31,3,FALSE()),1),IF(A292&lt;=30,VLOOKUP(A292,Punten!$A$2:$C$31,2,FALSE()),1)),0))))</f>
        <v>0</v>
      </c>
    </row>
    <row r="293" spans="1:9" x14ac:dyDescent="0.25">
      <c r="A293" s="12"/>
      <c r="B293" s="13"/>
      <c r="C293" s="17"/>
      <c r="D293" s="13"/>
      <c r="E293" s="13"/>
      <c r="F293" s="13"/>
      <c r="G293" s="15"/>
      <c r="H293" s="15"/>
      <c r="I293" s="16">
        <f>IF(C293="",0,IF(OR(A293="",A293="DNS"),0,IF(A293="DNF",1,IF(ISNUMBER(A293),IF($I$208="J",IF(A293&lt;=11,VLOOKUP(A293,Punten!$A$2:$C$31,3,FALSE()),1),IF(A293&lt;=30,VLOOKUP(A293,Punten!$A$2:$C$31,2,FALSE()),1)),0))))</f>
        <v>0</v>
      </c>
    </row>
    <row r="294" spans="1:9" x14ac:dyDescent="0.25">
      <c r="A294" s="12"/>
      <c r="B294" s="13"/>
      <c r="C294" s="17"/>
      <c r="D294" s="13"/>
      <c r="E294" s="13"/>
      <c r="F294" s="13"/>
      <c r="G294" s="15"/>
      <c r="H294" s="15"/>
      <c r="I294" s="16">
        <f>IF(C294="",0,IF(OR(A294="",A294="DNS"),0,IF(A294="DNF",1,IF(ISNUMBER(A294),IF($I$208="J",IF(A294&lt;=11,VLOOKUP(A294,Punten!$A$2:$C$31,3,FALSE()),1),IF(A294&lt;=30,VLOOKUP(A294,Punten!$A$2:$C$31,2,FALSE()),1)),0))))</f>
        <v>0</v>
      </c>
    </row>
    <row r="295" spans="1:9" x14ac:dyDescent="0.25">
      <c r="A295" s="12"/>
      <c r="B295" s="13"/>
      <c r="C295" s="17"/>
      <c r="D295" s="13"/>
      <c r="E295" s="13"/>
      <c r="F295" s="13"/>
      <c r="G295" s="15"/>
      <c r="H295" s="15"/>
      <c r="I295" s="16">
        <f>IF(C295="",0,IF(OR(A295="",A295="DNS"),0,IF(A295="DNF",1,IF(ISNUMBER(A295),IF($I$208="J",IF(A295&lt;=11,VLOOKUP(A295,Punten!$A$2:$C$31,3,FALSE()),1),IF(A295&lt;=30,VLOOKUP(A295,Punten!$A$2:$C$31,2,FALSE()),1)),0))))</f>
        <v>0</v>
      </c>
    </row>
    <row r="296" spans="1:9" x14ac:dyDescent="0.25">
      <c r="A296" s="12"/>
      <c r="B296" s="13"/>
      <c r="C296" s="17"/>
      <c r="D296" s="13"/>
      <c r="E296" s="13"/>
      <c r="F296" s="13"/>
      <c r="G296" s="15"/>
      <c r="H296" s="15"/>
      <c r="I296" s="16">
        <f>IF(C296="",0,IF(OR(A296="",A296="DNS"),0,IF(A296="DNF",1,IF(ISNUMBER(A296),IF($I$208="J",IF(A296&lt;=11,VLOOKUP(A296,Punten!$A$2:$C$31,3,FALSE()),1),IF(A296&lt;=30,VLOOKUP(A296,Punten!$A$2:$C$31,2,FALSE()),1)),0))))</f>
        <v>0</v>
      </c>
    </row>
    <row r="297" spans="1:9" x14ac:dyDescent="0.25">
      <c r="A297" s="12"/>
      <c r="B297" s="13"/>
      <c r="C297" s="17"/>
      <c r="D297" s="13"/>
      <c r="E297" s="13"/>
      <c r="F297" s="13"/>
      <c r="G297" s="15"/>
      <c r="H297" s="15"/>
      <c r="I297" s="16">
        <f>IF(C297="",0,IF(OR(A297="",A297="DNS"),0,IF(A297="DNF",1,IF(ISNUMBER(A297),IF($I$208="J",IF(A297&lt;=11,VLOOKUP(A297,Punten!$A$2:$C$31,3,FALSE()),1),IF(A297&lt;=30,VLOOKUP(A297,Punten!$A$2:$C$31,2,FALSE()),1)),0))))</f>
        <v>0</v>
      </c>
    </row>
    <row r="298" spans="1:9" x14ac:dyDescent="0.25">
      <c r="A298" s="12"/>
      <c r="B298" s="13"/>
      <c r="C298" s="17"/>
      <c r="D298" s="13"/>
      <c r="E298" s="13"/>
      <c r="F298" s="13"/>
      <c r="G298" s="15"/>
      <c r="H298" s="15"/>
      <c r="I298" s="16">
        <f>IF(C298="",0,IF(OR(A298="",A298="DNS"),0,IF(A298="DNF",1,IF(ISNUMBER(A298),IF($I$208="J",IF(A298&lt;=11,VLOOKUP(A298,Punten!$A$2:$C$31,3,FALSE()),1),IF(A298&lt;=30,VLOOKUP(A298,Punten!$A$2:$C$31,2,FALSE()),1)),0))))</f>
        <v>0</v>
      </c>
    </row>
    <row r="299" spans="1:9" x14ac:dyDescent="0.25">
      <c r="A299" s="12"/>
      <c r="B299" s="13"/>
      <c r="C299" s="17"/>
      <c r="D299" s="13"/>
      <c r="E299" s="13"/>
      <c r="F299" s="13"/>
      <c r="G299" s="15"/>
      <c r="H299" s="15"/>
      <c r="I299" s="16">
        <f>IF(C299="",0,IF(OR(A299="",A299="DNS"),0,IF(A299="DNF",1,IF(ISNUMBER(A299),IF($I$208="J",IF(A299&lt;=11,VLOOKUP(A299,Punten!$A$2:$C$31,3,FALSE()),1),IF(A299&lt;=30,VLOOKUP(A299,Punten!$A$2:$C$31,2,FALSE()),1)),0))))</f>
        <v>0</v>
      </c>
    </row>
    <row r="300" spans="1:9" x14ac:dyDescent="0.25">
      <c r="A300" s="12"/>
      <c r="B300" s="13"/>
      <c r="C300" s="17"/>
      <c r="D300" s="13"/>
      <c r="E300" s="13"/>
      <c r="F300" s="13"/>
      <c r="G300" s="15"/>
      <c r="H300" s="15"/>
      <c r="I300" s="16">
        <f>IF(C300="",0,IF(OR(A300="",A300="DNS"),0,IF(A300="DNF",1,IF(ISNUMBER(A300),IF($I$208="J",IF(A300&lt;=11,VLOOKUP(A300,Punten!$A$2:$C$31,3,FALSE()),1),IF(A300&lt;=30,VLOOKUP(A300,Punten!$A$2:$C$31,2,FALSE()),1)),0))))</f>
        <v>0</v>
      </c>
    </row>
    <row r="301" spans="1:9" x14ac:dyDescent="0.25">
      <c r="A301" s="12"/>
      <c r="B301" s="13"/>
      <c r="C301" s="17"/>
      <c r="D301" s="13"/>
      <c r="E301" s="13"/>
      <c r="F301" s="13"/>
      <c r="G301" s="15"/>
      <c r="H301" s="15"/>
      <c r="I301" s="16">
        <f>IF(C301="",0,IF(OR(A301="",A301="DNS"),0,IF(A301="DNF",1,IF(ISNUMBER(A301),IF($I$208="J",IF(A301&lt;=11,VLOOKUP(A301,Punten!$A$2:$C$31,3,FALSE()),1),IF(A301&lt;=30,VLOOKUP(A301,Punten!$A$2:$C$31,2,FALSE()),1)),0))))</f>
        <v>0</v>
      </c>
    </row>
    <row r="302" spans="1:9" x14ac:dyDescent="0.25">
      <c r="A302" s="12"/>
      <c r="B302" s="13"/>
      <c r="C302" s="17"/>
      <c r="D302" s="13"/>
      <c r="E302" s="13"/>
      <c r="F302" s="13"/>
      <c r="G302" s="15"/>
      <c r="H302" s="15"/>
      <c r="I302" s="16">
        <f>IF(C302="",0,IF(OR(A302="",A302="DNS"),0,IF(A302="DNF",1,IF(ISNUMBER(A302),IF($I$208="J",IF(A302&lt;=11,VLOOKUP(A302,Punten!$A$2:$C$31,3,FALSE()),1),IF(A302&lt;=30,VLOOKUP(A302,Punten!$A$2:$C$31,2,FALSE()),1)),0))))</f>
        <v>0</v>
      </c>
    </row>
    <row r="303" spans="1:9" x14ac:dyDescent="0.25">
      <c r="A303" s="12"/>
      <c r="B303" s="13"/>
      <c r="C303" s="17"/>
      <c r="D303" s="13"/>
      <c r="E303" s="13"/>
      <c r="F303" s="13"/>
      <c r="G303" s="15"/>
      <c r="H303" s="15"/>
      <c r="I303" s="16">
        <f>IF(C303="",0,IF(OR(A303="",A303="DNS"),0,IF(A303="DNF",1,IF(ISNUMBER(A303),IF($I$208="J",IF(A303&lt;=11,VLOOKUP(A303,Punten!$A$2:$C$31,3,FALSE()),1),IF(A303&lt;=30,VLOOKUP(A303,Punten!$A$2:$C$31,2,FALSE()),1)),0))))</f>
        <v>0</v>
      </c>
    </row>
    <row r="304" spans="1:9" x14ac:dyDescent="0.25">
      <c r="A304" s="12"/>
      <c r="B304" s="13"/>
      <c r="C304" s="17"/>
      <c r="D304" s="13"/>
      <c r="E304" s="13"/>
      <c r="F304" s="13"/>
      <c r="G304" s="15"/>
      <c r="H304" s="15"/>
      <c r="I304" s="16">
        <f>IF(C304="",0,IF(OR(A304="",A304="DNS"),0,IF(A304="DNF",1,IF(ISNUMBER(A304),IF($I$208="J",IF(A304&lt;=11,VLOOKUP(A304,Punten!$A$2:$C$31,3,FALSE()),1),IF(A304&lt;=30,VLOOKUP(A304,Punten!$A$2:$C$31,2,FALSE()),1)),0))))</f>
        <v>0</v>
      </c>
    </row>
    <row r="305" spans="1:9" x14ac:dyDescent="0.25">
      <c r="A305" s="12"/>
      <c r="B305" s="13"/>
      <c r="C305" s="17"/>
      <c r="D305" s="13"/>
      <c r="E305" s="13"/>
      <c r="F305" s="13"/>
      <c r="G305" s="15"/>
      <c r="H305" s="15"/>
      <c r="I305" s="16">
        <f>IF(C305="",0,IF(OR(A305="",A305="DNS"),0,IF(A305="DNF",1,IF(ISNUMBER(A305),IF($I$208="J",IF(A305&lt;=11,VLOOKUP(A305,Punten!$A$2:$C$31,3,FALSE()),1),IF(A305&lt;=30,VLOOKUP(A305,Punten!$A$2:$C$31,2,FALSE()),1)),0))))</f>
        <v>0</v>
      </c>
    </row>
    <row r="306" spans="1:9" x14ac:dyDescent="0.25">
      <c r="A306" s="12"/>
      <c r="B306" s="13"/>
      <c r="C306" s="17"/>
      <c r="D306" s="13"/>
      <c r="E306" s="13"/>
      <c r="F306" s="13"/>
      <c r="G306" s="15"/>
      <c r="H306" s="15"/>
      <c r="I306" s="16">
        <f>IF(C306="",0,IF(OR(A306="",A306="DNS"),0,IF(A306="DNF",1,IF(ISNUMBER(A306),IF($I$208="J",IF(A306&lt;=11,VLOOKUP(A306,Punten!$A$2:$C$31,3,FALSE()),1),IF(A306&lt;=30,VLOOKUP(A306,Punten!$A$2:$C$31,2,FALSE()),1)),0))))</f>
        <v>0</v>
      </c>
    </row>
    <row r="307" spans="1:9" x14ac:dyDescent="0.25">
      <c r="A307" s="12"/>
      <c r="B307" s="13"/>
      <c r="C307" s="17"/>
      <c r="D307" s="13"/>
      <c r="E307" s="13"/>
      <c r="F307" s="13"/>
      <c r="G307" s="15"/>
      <c r="H307" s="15"/>
      <c r="I307" s="16">
        <f>IF(C307="",0,IF(OR(A307="",A307="DNS"),0,IF(A307="DNF",1,IF(ISNUMBER(A307),IF($I$208="J",IF(A307&lt;=11,VLOOKUP(A307,Punten!$A$2:$C$31,3,FALSE()),1),IF(A307&lt;=30,VLOOKUP(A307,Punten!$A$2:$C$31,2,FALSE()),1)),0))))</f>
        <v>0</v>
      </c>
    </row>
    <row r="308" spans="1:9" x14ac:dyDescent="0.25">
      <c r="A308" s="12"/>
      <c r="B308" s="13"/>
      <c r="C308" s="17"/>
      <c r="D308" s="13"/>
      <c r="E308" s="13"/>
      <c r="F308" s="13"/>
      <c r="G308" s="15"/>
      <c r="H308" s="15"/>
      <c r="I308" s="16">
        <f>IF(C308="",0,IF(OR(A308="",A308="DNS"),0,IF(A308="DNF",1,IF(ISNUMBER(A308),IF($I$208="J",IF(A308&lt;=11,VLOOKUP(A308,Punten!$A$2:$C$31,3,FALSE()),1),IF(A308&lt;=30,VLOOKUP(A308,Punten!$A$2:$C$31,2,FALSE()),1)),0))))</f>
        <v>0</v>
      </c>
    </row>
    <row r="309" spans="1:9" x14ac:dyDescent="0.25">
      <c r="A309" s="12"/>
      <c r="B309" s="13"/>
      <c r="C309" s="17"/>
      <c r="D309" s="13"/>
      <c r="E309" s="13"/>
      <c r="F309" s="13"/>
      <c r="G309" s="15"/>
      <c r="H309" s="15"/>
      <c r="I309" s="16">
        <f>IF(C309="",0,IF(OR(A309="",A309="DNS"),0,IF(A309="DNF",1,IF(ISNUMBER(A309),IF($I$208="J",IF(A309&lt;=11,VLOOKUP(A309,Punten!$A$2:$C$31,3,FALSE()),1),IF(A309&lt;=30,VLOOKUP(A309,Punten!$A$2:$C$31,2,FALSE()),1)),0))))</f>
        <v>0</v>
      </c>
    </row>
  </sheetData>
  <mergeCells count="1">
    <mergeCell ref="A1:I1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368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O3" sqref="O1:O1048576"/>
    </sheetView>
  </sheetViews>
  <sheetFormatPr defaultColWidth="8.7109375" defaultRowHeight="15" x14ac:dyDescent="0.25"/>
  <cols>
    <col min="1" max="1" width="28" customWidth="1"/>
    <col min="2" max="2" width="24" customWidth="1"/>
    <col min="3" max="3" width="23.85546875" customWidth="1"/>
    <col min="4" max="4" width="8" customWidth="1"/>
    <col min="5" max="5" width="10" customWidth="1"/>
    <col min="6" max="6" width="8" customWidth="1"/>
    <col min="7" max="7" width="10" customWidth="1"/>
    <col min="8" max="8" width="8" customWidth="1"/>
    <col min="9" max="9" width="10" customWidth="1"/>
    <col min="10" max="10" width="8" customWidth="1"/>
    <col min="11" max="11" width="10" customWidth="1"/>
    <col min="12" max="12" width="8" customWidth="1"/>
    <col min="13" max="15" width="10" customWidth="1"/>
    <col min="27" max="29" width="13" hidden="1" customWidth="1"/>
  </cols>
  <sheetData>
    <row r="1" spans="1:29" ht="18" customHeight="1" x14ac:dyDescent="0.25">
      <c r="A1" s="42" t="s">
        <v>144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AA1" t="str">
        <f>Barneveld!C4</f>
        <v>Peter Stienstra</v>
      </c>
      <c r="AB1">
        <f>IF(AA1="",0,IF(COUNTIF($AA$1:AA1,AA1)=1,1,0))</f>
        <v>1</v>
      </c>
      <c r="AC1">
        <f>IF(AB1=1,COUNTIF($AB$1:AB1,1),"")</f>
        <v>1</v>
      </c>
    </row>
    <row r="2" spans="1:29" x14ac:dyDescent="0.25">
      <c r="A2" s="43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AA2" t="str">
        <f>Barneveld!C5</f>
        <v>Henriko van Veldhuizen</v>
      </c>
      <c r="AB2">
        <f>IF(AA2="",0,IF(COUNTIF($AA$1:AA2,AA2)=1,1,0))</f>
        <v>1</v>
      </c>
      <c r="AC2">
        <f>IF(AB2=1,COUNTIF($AB$1:AB2,1),"")</f>
        <v>2</v>
      </c>
    </row>
    <row r="3" spans="1:29" ht="30" customHeight="1" x14ac:dyDescent="0.25">
      <c r="A3" s="23" t="s">
        <v>27</v>
      </c>
      <c r="B3" s="23" t="s">
        <v>29</v>
      </c>
      <c r="C3" s="23" t="s">
        <v>28</v>
      </c>
      <c r="D3" s="23" t="s">
        <v>146</v>
      </c>
      <c r="E3" s="23" t="s">
        <v>147</v>
      </c>
      <c r="F3" s="23" t="s">
        <v>148</v>
      </c>
      <c r="G3" s="23" t="s">
        <v>149</v>
      </c>
      <c r="H3" s="35" t="s">
        <v>307</v>
      </c>
      <c r="I3" s="23" t="s">
        <v>150</v>
      </c>
      <c r="J3" s="23" t="s">
        <v>151</v>
      </c>
      <c r="K3" s="23" t="s">
        <v>152</v>
      </c>
      <c r="L3" s="23" t="s">
        <v>153</v>
      </c>
      <c r="M3" s="23" t="s">
        <v>154</v>
      </c>
      <c r="N3" s="23" t="s">
        <v>155</v>
      </c>
      <c r="O3" s="23" t="s">
        <v>25</v>
      </c>
      <c r="AA3" t="str">
        <f>Barneveld!C6</f>
        <v>Erwin van Leijen</v>
      </c>
      <c r="AB3">
        <f>IF(AA3="",0,IF(COUNTIF($AA$1:AA3,AA3)=1,1,0))</f>
        <v>1</v>
      </c>
      <c r="AC3">
        <f>IF(AB3=1,COUNTIF($AB$1:AB3,1),"")</f>
        <v>3</v>
      </c>
    </row>
    <row r="4" spans="1:29" x14ac:dyDescent="0.25">
      <c r="A4" s="13" t="str">
        <f>IFERROR(INDEX($AA$1:$AA$368,MATCH(8,$AC$1:$AC$368,0)),"")</f>
        <v>Daan Switters</v>
      </c>
      <c r="B4" s="13" t="str">
        <f>IF($A4="","",IF(IFERROR(INDEX(Barneveld!$E$4:$E$36,MATCH($A4,Barneveld!$C$4:$C$36,0)),"")&lt;&gt;"",IFERROR(INDEX(Barneveld!$E$4:$E$36,MATCH($A4,Barneveld!$C$4:$C$36,0)),""),IF(IFERROR(INDEX(Baarn!$F$4:$F$38,MATCH($A4,Baarn!$C$4:$C$38,0)),"")&lt;&gt;"",IFERROR(INDEX(Baarn!$F$4:$F$38,MATCH($A4,Baarn!$C$4:$C$38,0)),""),IF(IFERROR(INDEX(Scherpenzeel!$F$4:$F$103,MATCH($A4,Scherpenzeel!$C$4:$C$103,0)),"")&lt;&gt;"",IFERROR(INDEX(Scherpenzeel!$F$4:$F$103,MATCH($A4,Scherpenzeel!$C$4:$C$103,0)),""),IF(IFERROR(INDEX('4'!$F$4:$F$103,MATCH($A4,'4'!$C$4:$C$103,0)),"")&lt;&gt;"",IFERROR(INDEX('4'!$F$4:$F$103,MATCH($A4,'4'!$C$4:$C$103,0)),""),IFERROR(INDEX('5'!$F$4:$F$103,MATCH($A4,'5'!$C$4:$C$103,0)),""))))))</f>
        <v>Team DFM</v>
      </c>
      <c r="C4" s="13" t="str">
        <f>IF($A4="","",IF(IFERROR(INDEX(Barneveld!$D$4:$D$36,MATCH($A4,Barneveld!$C$4:$C$36,0)),"")&lt;&gt;"",IFERROR(INDEX(Barneveld!$D$4:$D$36,MATCH($A4,Barneveld!$C$4:$C$36,0)),""),IF(IFERROR(INDEX(Baarn!$E$4:$E$38,MATCH($A4,Baarn!$C$4:$C$38,0)),"")&lt;&gt;"",IFERROR(INDEX(Baarn!$E$4:$E$38,MATCH($A4,Baarn!$C$4:$C$38,0)),""),IF(IFERROR(INDEX(Scherpenzeel!$E$4:$E$103,MATCH($A4,Scherpenzeel!$C$4:$C$103,0)),"")&lt;&gt;"",IFERROR(INDEX(Scherpenzeel!$E$4:$E$103,MATCH($A4,Scherpenzeel!$C$4:$C$103,0)),""),IF(IFERROR(INDEX('4'!$E$4:$E$103,MATCH($A4,'4'!$C$4:$C$103,0)),"")&lt;&gt;"",IFERROR(INDEX('4'!$E$4:$E$103,MATCH($A4,'4'!$C$4:$C$103,0)),""),IFERROR(INDEX('5'!$E$4:$E$103,MATCH($A4,'5'!$C$4:$C$103,0)),""))))))</f>
        <v>KNWU Licentie (Plus)</v>
      </c>
      <c r="D4" s="24">
        <f>IF($A4="","",IFERROR(INDEX(Barneveld!$A$4:$A$36,MATCH($A4,Barneveld!$C$4:$C$36,0)),""))</f>
        <v>8</v>
      </c>
      <c r="E4" s="15">
        <f>IF($A4="",0,IFERROR(INDEX(Barneveld!$H$4:$H$36,MATCH($A4,Barneveld!$C$4:$C$36,0)),0))</f>
        <v>62</v>
      </c>
      <c r="F4" s="24">
        <f>IF($A4="","",IFERROR(INDEX(Baarn!$A$4:$A$38,MATCH($A4,Baarn!$C$4:$C$38,0)),""))</f>
        <v>3</v>
      </c>
      <c r="G4" s="15">
        <f>IF($A4="",0,IFERROR(INDEX(Baarn!$I$4:$I$38,MATCH($A4,Baarn!$C$4:$C$38,0)),0))</f>
        <v>85</v>
      </c>
      <c r="H4" s="24">
        <f>IF($A4="","",IFERROR(INDEX(Scherpenzeel!$A$4:$A$103,MATCH($A4,Scherpenzeel!$C$4:$C$103,0)),""))</f>
        <v>6</v>
      </c>
      <c r="I4" s="15">
        <f>IF($A4="",0,IFERROR(INDEX(Scherpenzeel!$I$4:$I$103,MATCH($A4,Scherpenzeel!$C$4:$C$103,0)),0))</f>
        <v>70</v>
      </c>
      <c r="J4" s="24" t="str">
        <f>IF($A4="","",IFERROR(INDEX('4'!$A$4:$A$103,MATCH($A4,'4'!$C$4:$C$103,0)),""))</f>
        <v/>
      </c>
      <c r="K4" s="15">
        <f>IF($A4="",0,IFERROR(INDEX('4'!$I$4:$I$103,MATCH($A4,'4'!$C$4:$C$103,0)),0))</f>
        <v>0</v>
      </c>
      <c r="L4" s="24" t="str">
        <f>IF($A4="","",IFERROR(INDEX('5'!$A$4:$A$103,MATCH($A4,'5'!$C$4:$C$103,0)),""))</f>
        <v/>
      </c>
      <c r="M4" s="15">
        <f>IF($A4="",0,IFERROR(INDEX('5'!$I$4:$I$103,MATCH($A4,'5'!$C$4:$C$103,0)),0))</f>
        <v>0</v>
      </c>
      <c r="N4" s="25">
        <f>IF($A4="","",E4+G4+I4+K4+M4)</f>
        <v>217</v>
      </c>
      <c r="O4" s="26">
        <f>IF(OR($A4="",N4="",N4=0),"",RANK(N4,$N$4:$N$203,0))</f>
        <v>1</v>
      </c>
      <c r="AA4" t="str">
        <f>Barneveld!C7</f>
        <v>Mitchell Huenders</v>
      </c>
      <c r="AB4">
        <f>IF(AA4="",0,IF(COUNTIF($AA$1:AA4,AA4)=1,1,0))</f>
        <v>1</v>
      </c>
      <c r="AC4">
        <f>IF(AB4=1,COUNTIF($AB$1:AB4,1),"")</f>
        <v>4</v>
      </c>
    </row>
    <row r="5" spans="1:29" x14ac:dyDescent="0.25">
      <c r="A5" s="13" t="str">
        <f>IFERROR(INDEX($AA$1:$AA$368,MATCH(6,$AC$1:$AC$368,0)),"")</f>
        <v>Niels Immerzeel</v>
      </c>
      <c r="B5" s="13" t="str">
        <f>IF($A5="","",IF(IFERROR(INDEX(Barneveld!$E$4:$E$36,MATCH($A5,Barneveld!$C$4:$C$36,0)),"")&lt;&gt;"",IFERROR(INDEX(Barneveld!$E$4:$E$36,MATCH($A5,Barneveld!$C$4:$C$36,0)),""),IF(IFERROR(INDEX(Baarn!$F$4:$F$38,MATCH($A5,Baarn!$C$4:$C$38,0)),"")&lt;&gt;"",IFERROR(INDEX(Baarn!$F$4:$F$38,MATCH($A5,Baarn!$C$4:$C$38,0)),""),IF(IFERROR(INDEX(Scherpenzeel!$F$4:$F$103,MATCH($A5,Scherpenzeel!$C$4:$C$103,0)),"")&lt;&gt;"",IFERROR(INDEX(Scherpenzeel!$F$4:$F$103,MATCH($A5,Scherpenzeel!$C$4:$C$103,0)),""),IF(IFERROR(INDEX('4'!$F$4:$F$103,MATCH($A5,'4'!$C$4:$C$103,0)),"")&lt;&gt;"",IFERROR(INDEX('4'!$F$4:$F$103,MATCH($A5,'4'!$C$4:$C$103,0)),""),IFERROR(INDEX('5'!$F$4:$F$103,MATCH($A5,'5'!$C$4:$C$103,0)),""))))))</f>
        <v>KNWU</v>
      </c>
      <c r="C5" s="13" t="str">
        <f>IF($A5="","",IF(IFERROR(INDEX(Barneveld!$D$4:$D$36,MATCH($A5,Barneveld!$C$4:$C$36,0)),"")&lt;&gt;"",IFERROR(INDEX(Barneveld!$D$4:$D$36,MATCH($A5,Barneveld!$C$4:$C$36,0)),""),IF(IFERROR(INDEX(Baarn!$E$4:$E$38,MATCH($A5,Baarn!$C$4:$C$38,0)),"")&lt;&gt;"",IFERROR(INDEX(Baarn!$E$4:$E$38,MATCH($A5,Baarn!$C$4:$C$38,0)),""),IF(IFERROR(INDEX(Scherpenzeel!$E$4:$E$103,MATCH($A5,Scherpenzeel!$C$4:$C$103,0)),"")&lt;&gt;"",IFERROR(INDEX(Scherpenzeel!$E$4:$E$103,MATCH($A5,Scherpenzeel!$C$4:$C$103,0)),""),IF(IFERROR(INDEX('4'!$E$4:$E$103,MATCH($A5,'4'!$C$4:$C$103,0)),"")&lt;&gt;"",IFERROR(INDEX('4'!$E$4:$E$103,MATCH($A5,'4'!$C$4:$C$103,0)),""),IFERROR(INDEX('5'!$E$4:$E$103,MATCH($A5,'5'!$C$4:$C$103,0)),""))))))</f>
        <v>KNWU Licentie (Plus)</v>
      </c>
      <c r="D5" s="24">
        <f>IF($A5="","",IFERROR(INDEX(Barneveld!$A$4:$A$36,MATCH($A5,Barneveld!$C$4:$C$36,0)),""))</f>
        <v>6</v>
      </c>
      <c r="E5" s="15">
        <f>IF($A5="",0,IFERROR(INDEX(Barneveld!$H$4:$H$36,MATCH($A5,Barneveld!$C$4:$C$36,0)),0))</f>
        <v>70</v>
      </c>
      <c r="F5" s="24">
        <f>IF($A5="","",IFERROR(INDEX(Baarn!$A$4:$A$38,MATCH($A5,Baarn!$C$4:$C$38,0)),""))</f>
        <v>6</v>
      </c>
      <c r="G5" s="15">
        <f>IF($A5="",0,IFERROR(INDEX(Baarn!$I$4:$I$38,MATCH($A5,Baarn!$C$4:$C$38,0)),0))</f>
        <v>70</v>
      </c>
      <c r="H5" s="24" t="str">
        <f>IF($A5="","",IFERROR(INDEX(Scherpenzeel!$A$4:$A$103,MATCH($A5,Scherpenzeel!$C$4:$C$103,0)),""))</f>
        <v>9</v>
      </c>
      <c r="I5" s="15">
        <v>58</v>
      </c>
      <c r="J5" s="24" t="str">
        <f>IF($A5="","",IFERROR(INDEX('4'!$A$4:$A$103,MATCH($A5,'4'!$C$4:$C$103,0)),""))</f>
        <v/>
      </c>
      <c r="K5" s="15">
        <f>IF($A5="",0,IFERROR(INDEX('4'!$I$4:$I$103,MATCH($A5,'4'!$C$4:$C$103,0)),0))</f>
        <v>0</v>
      </c>
      <c r="L5" s="24" t="str">
        <f>IF($A5="","",IFERROR(INDEX('5'!$A$4:$A$103,MATCH($A5,'5'!$C$4:$C$103,0)),""))</f>
        <v/>
      </c>
      <c r="M5" s="15">
        <f>IF($A5="",0,IFERROR(INDEX('5'!$I$4:$I$103,MATCH($A5,'5'!$C$4:$C$103,0)),0))</f>
        <v>0</v>
      </c>
      <c r="N5" s="25">
        <f>IF($A5="","",E5+G5+I5+K5+M5)</f>
        <v>198</v>
      </c>
      <c r="O5" s="26">
        <f>IF(OR($A5="",N5="",N5=0),"",RANK(N5,$N$4:$N$203,0))</f>
        <v>2</v>
      </c>
      <c r="AA5" t="str">
        <f>Barneveld!C8</f>
        <v>Steven Stenekes</v>
      </c>
      <c r="AB5">
        <f>IF(AA5="",0,IF(COUNTIF($AA$1:AA5,AA5)=1,1,0))</f>
        <v>1</v>
      </c>
      <c r="AC5">
        <f>IF(AB5=1,COUNTIF($AB$1:AB5,1),"")</f>
        <v>5</v>
      </c>
    </row>
    <row r="6" spans="1:29" x14ac:dyDescent="0.25">
      <c r="A6" s="13" t="str">
        <f>IFERROR(INDEX($AA$1:$AA$368,MATCH(2,$AC$1:$AC$368,0)),"")</f>
        <v>Henriko van Veldhuizen</v>
      </c>
      <c r="B6" s="13" t="str">
        <f>IF($A6="","",IF(IFERROR(INDEX(Barneveld!$E$4:$E$36,MATCH($A6,Barneveld!$C$4:$C$36,0)),"")&lt;&gt;"",IFERROR(INDEX(Barneveld!$E$4:$E$36,MATCH($A6,Barneveld!$C$4:$C$36,0)),""),IF(IFERROR(INDEX(Baarn!$F$4:$F$38,MATCH($A6,Baarn!$C$4:$C$38,0)),"")&lt;&gt;"",IFERROR(INDEX(Baarn!$F$4:$F$38,MATCH($A6,Baarn!$C$4:$C$38,0)),""),IF(IFERROR(INDEX(Scherpenzeel!$F$4:$F$103,MATCH($A6,Scherpenzeel!$C$4:$C$103,0)),"")&lt;&gt;"",IFERROR(INDEX(Scherpenzeel!$F$4:$F$103,MATCH($A6,Scherpenzeel!$C$4:$C$103,0)),""),IF(IFERROR(INDEX('4'!$F$4:$F$103,MATCH($A6,'4'!$C$4:$C$103,0)),"")&lt;&gt;"",IFERROR(INDEX('4'!$F$4:$F$103,MATCH($A6,'4'!$C$4:$C$103,0)),""),IFERROR(INDEX('5'!$F$4:$F$103,MATCH($A6,'5'!$C$4:$C$103,0)),""))))))</f>
        <v>KNWU</v>
      </c>
      <c r="C6" s="13" t="str">
        <f>IF($A6="","",IF(IFERROR(INDEX(Barneveld!$D$4:$D$36,MATCH($A6,Barneveld!$C$4:$C$36,0)),"")&lt;&gt;"",IFERROR(INDEX(Barneveld!$D$4:$D$36,MATCH($A6,Barneveld!$C$4:$C$36,0)),""),IF(IFERROR(INDEX(Baarn!$E$4:$E$38,MATCH($A6,Baarn!$C$4:$C$38,0)),"")&lt;&gt;"",IFERROR(INDEX(Baarn!$E$4:$E$38,MATCH($A6,Baarn!$C$4:$C$38,0)),""),IF(IFERROR(INDEX(Scherpenzeel!$E$4:$E$103,MATCH($A6,Scherpenzeel!$C$4:$C$103,0)),"")&lt;&gt;"",IFERROR(INDEX(Scherpenzeel!$E$4:$E$103,MATCH($A6,Scherpenzeel!$C$4:$C$103,0)),""),IF(IFERROR(INDEX('4'!$E$4:$E$103,MATCH($A6,'4'!$C$4:$C$103,0)),"")&lt;&gt;"",IFERROR(INDEX('4'!$E$4:$E$103,MATCH($A6,'4'!$C$4:$C$103,0)),""),IFERROR(INDEX('5'!$E$4:$E$103,MATCH($A6,'5'!$C$4:$C$103,0)),""))))))</f>
        <v>KNWU Licentie (Plus)</v>
      </c>
      <c r="D6" s="24">
        <f>IF($A6="","",IFERROR(INDEX(Barneveld!$A$4:$A$36,MATCH($A6,Barneveld!$C$4:$C$36,0)),""))</f>
        <v>2</v>
      </c>
      <c r="E6" s="15">
        <f>IF($A6="",0,IFERROR(INDEX(Barneveld!$H$4:$H$36,MATCH($A6,Barneveld!$C$4:$C$36,0)),0))</f>
        <v>90</v>
      </c>
      <c r="F6" s="24" t="str">
        <f>IF($A6="","",IFERROR(INDEX(Baarn!$A$4:$A$38,MATCH($A6,Baarn!$C$4:$C$38,0)),""))</f>
        <v/>
      </c>
      <c r="G6" s="15">
        <f>IF($A6="",0,IFERROR(INDEX(Baarn!$I$4:$I$38,MATCH($A6,Baarn!$C$4:$C$38,0)),0))</f>
        <v>0</v>
      </c>
      <c r="H6" s="24">
        <f>IF($A6="","",IFERROR(INDEX(Scherpenzeel!$A$4:$A$103,MATCH($A6,Scherpenzeel!$C$4:$C$103,0)),""))</f>
        <v>5</v>
      </c>
      <c r="I6" s="15">
        <f>IF($A6="",0,IFERROR(INDEX(Scherpenzeel!$I$4:$I$103,MATCH($A6,Scherpenzeel!$C$4:$C$103,0)),0))</f>
        <v>75</v>
      </c>
      <c r="J6" s="24" t="str">
        <f>IF($A6="","",IFERROR(INDEX('4'!$A$4:$A$103,MATCH($A6,'4'!$C$4:$C$103,0)),""))</f>
        <v/>
      </c>
      <c r="K6" s="15">
        <f>IF($A6="",0,IFERROR(INDEX('4'!$I$4:$I$103,MATCH($A6,'4'!$C$4:$C$103,0)),0))</f>
        <v>0</v>
      </c>
      <c r="L6" s="24" t="str">
        <f>IF($A6="","",IFERROR(INDEX('5'!$A$4:$A$103,MATCH($A6,'5'!$C$4:$C$103,0)),""))</f>
        <v/>
      </c>
      <c r="M6" s="15">
        <f>IF($A6="",0,IFERROR(INDEX('5'!$I$4:$I$103,MATCH($A6,'5'!$C$4:$C$103,0)),0))</f>
        <v>0</v>
      </c>
      <c r="N6" s="25">
        <f>IF($A6="","",E6+G6+I6+K6+M6)</f>
        <v>165</v>
      </c>
      <c r="O6" s="26">
        <f>IF(OR($A6="",N6="",N6=0),"",RANK(N6,$N$4:$N$203,0))</f>
        <v>3</v>
      </c>
      <c r="AA6" t="str">
        <f>Barneveld!C9</f>
        <v>Niels Immerzeel</v>
      </c>
      <c r="AB6">
        <f>IF(AA6="",0,IF(COUNTIF($AA$1:AA6,AA6)=1,1,0))</f>
        <v>1</v>
      </c>
      <c r="AC6">
        <f>IF(AB6=1,COUNTIF($AB$1:AB6,1),"")</f>
        <v>6</v>
      </c>
    </row>
    <row r="7" spans="1:29" x14ac:dyDescent="0.25">
      <c r="A7" s="13" t="str">
        <f>IFERROR(INDEX($AA$1:$AA$368,MATCH(4,$AC$1:$AC$368,0)),"")</f>
        <v>Mitchell Huenders</v>
      </c>
      <c r="B7" s="13" t="str">
        <f>IF($A7="","",IF(IFERROR(INDEX(Barneveld!$E$4:$E$36,MATCH($A7,Barneveld!$C$4:$C$36,0)),"")&lt;&gt;"",IFERROR(INDEX(Barneveld!$E$4:$E$36,MATCH($A7,Barneveld!$C$4:$C$36,0)),""),IF(IFERROR(INDEX(Baarn!$F$4:$F$38,MATCH($A7,Baarn!$C$4:$C$38,0)),"")&lt;&gt;"",IFERROR(INDEX(Baarn!$F$4:$F$38,MATCH($A7,Baarn!$C$4:$C$38,0)),""),IF(IFERROR(INDEX(Scherpenzeel!$F$4:$F$103,MATCH($A7,Scherpenzeel!$C$4:$C$103,0)),"")&lt;&gt;"",IFERROR(INDEX(Scherpenzeel!$F$4:$F$103,MATCH($A7,Scherpenzeel!$C$4:$C$103,0)),""),IF(IFERROR(INDEX('4'!$F$4:$F$103,MATCH($A7,'4'!$C$4:$C$103,0)),"")&lt;&gt;"",IFERROR(INDEX('4'!$F$4:$F$103,MATCH($A7,'4'!$C$4:$C$103,0)),""),IFERROR(INDEX('5'!$F$4:$F$103,MATCH($A7,'5'!$C$4:$C$103,0)),""))))))</f>
        <v>WV De IJsselstreek</v>
      </c>
      <c r="C7" s="13" t="str">
        <f>IF($A7="","",IF(IFERROR(INDEX(Barneveld!$D$4:$D$36,MATCH($A7,Barneveld!$C$4:$C$36,0)),"")&lt;&gt;"",IFERROR(INDEX(Barneveld!$D$4:$D$36,MATCH($A7,Barneveld!$C$4:$C$36,0)),""),IF(IFERROR(INDEX(Baarn!$E$4:$E$38,MATCH($A7,Baarn!$C$4:$C$38,0)),"")&lt;&gt;"",IFERROR(INDEX(Baarn!$E$4:$E$38,MATCH($A7,Baarn!$C$4:$C$38,0)),""),IF(IFERROR(INDEX(Scherpenzeel!$E$4:$E$103,MATCH($A7,Scherpenzeel!$C$4:$C$103,0)),"")&lt;&gt;"",IFERROR(INDEX(Scherpenzeel!$E$4:$E$103,MATCH($A7,Scherpenzeel!$C$4:$C$103,0)),""),IF(IFERROR(INDEX('4'!$E$4:$E$103,MATCH($A7,'4'!$C$4:$C$103,0)),"")&lt;&gt;"",IFERROR(INDEX('4'!$E$4:$E$103,MATCH($A7,'4'!$C$4:$C$103,0)),""),IFERROR(INDEX('5'!$E$4:$E$103,MATCH($A7,'5'!$C$4:$C$103,0)),""))))))</f>
        <v>KNWU Licentie (Plus)</v>
      </c>
      <c r="D7" s="24">
        <f>IF($A7="","",IFERROR(INDEX(Barneveld!$A$4:$A$36,MATCH($A7,Barneveld!$C$4:$C$36,0)),""))</f>
        <v>4</v>
      </c>
      <c r="E7" s="15">
        <f>IF($A7="",0,IFERROR(INDEX(Barneveld!$H$4:$H$36,MATCH($A7,Barneveld!$C$4:$C$36,0)),0))</f>
        <v>80</v>
      </c>
      <c r="F7" s="24">
        <f>IF($A7="","",IFERROR(INDEX(Baarn!$A$4:$A$38,MATCH($A7,Baarn!$C$4:$C$38,0)),""))</f>
        <v>5</v>
      </c>
      <c r="G7" s="15">
        <f>IF($A7="",0,IFERROR(INDEX(Baarn!$I$4:$I$38,MATCH($A7,Baarn!$C$4:$C$38,0)),0))</f>
        <v>75</v>
      </c>
      <c r="H7" s="24" t="str">
        <f>IF($A7="","",IFERROR(INDEX(Scherpenzeel!$A$4:$A$103,MATCH($A7,Scherpenzeel!$C$4:$C$103,0)),""))</f>
        <v>DNF</v>
      </c>
      <c r="I7" s="15">
        <f>IF($A7="",0,IFERROR(INDEX(Scherpenzeel!$I$4:$I$103,MATCH($A7,Scherpenzeel!$C$4:$C$103,0)),0))</f>
        <v>1</v>
      </c>
      <c r="J7" s="24" t="str">
        <f>IF($A7="","",IFERROR(INDEX('4'!$A$4:$A$103,MATCH($A7,'4'!$C$4:$C$103,0)),""))</f>
        <v/>
      </c>
      <c r="K7" s="15">
        <f>IF($A7="",0,IFERROR(INDEX('4'!$I$4:$I$103,MATCH($A7,'4'!$C$4:$C$103,0)),0))</f>
        <v>0</v>
      </c>
      <c r="L7" s="24" t="str">
        <f>IF($A7="","",IFERROR(INDEX('5'!$A$4:$A$103,MATCH($A7,'5'!$C$4:$C$103,0)),""))</f>
        <v/>
      </c>
      <c r="M7" s="15">
        <f>IF($A7="",0,IFERROR(INDEX('5'!$I$4:$I$103,MATCH($A7,'5'!$C$4:$C$103,0)),0))</f>
        <v>0</v>
      </c>
      <c r="N7" s="25">
        <f>IF($A7="","",E7+G7+I7+K7+M7)</f>
        <v>156</v>
      </c>
      <c r="O7" s="26">
        <f>IF(OR($A7="",N7="",N7=0),"",RANK(N7,$N$4:$N$203,0))</f>
        <v>4</v>
      </c>
      <c r="AA7" t="str">
        <f>Barneveld!C10</f>
        <v>Patrick van Veldhuizen</v>
      </c>
      <c r="AB7">
        <f>IF(AA7="",0,IF(COUNTIF($AA$1:AA7,AA7)=1,1,0))</f>
        <v>1</v>
      </c>
      <c r="AC7">
        <f>IF(AB7=1,COUNTIF($AB$1:AB7,1),"")</f>
        <v>7</v>
      </c>
    </row>
    <row r="8" spans="1:29" x14ac:dyDescent="0.25">
      <c r="A8" s="13" t="str">
        <f>IFERROR(INDEX($AA$1:$AA$368,MATCH(35,$AC$1:$AC$368,0)),"")</f>
        <v>Roel de Vries</v>
      </c>
      <c r="B8" s="13" t="str">
        <f>IF($A8="","",IF(IFERROR(INDEX(Barneveld!$E$4:$E$36,MATCH($A8,Barneveld!$C$4:$C$36,0)),"")&lt;&gt;"",IFERROR(INDEX(Barneveld!$E$4:$E$36,MATCH($A8,Barneveld!$C$4:$C$36,0)),""),IF(IFERROR(INDEX(Baarn!$F$4:$F$38,MATCH($A8,Baarn!$C$4:$C$38,0)),"")&lt;&gt;"",IFERROR(INDEX(Baarn!$F$4:$F$38,MATCH($A8,Baarn!$C$4:$C$38,0)),""),IF(IFERROR(INDEX(Scherpenzeel!$F$4:$F$103,MATCH($A8,Scherpenzeel!$C$4:$C$103,0)),"")&lt;&gt;"",IFERROR(INDEX(Scherpenzeel!$F$4:$F$103,MATCH($A8,Scherpenzeel!$C$4:$C$103,0)),""),IF(IFERROR(INDEX('4'!$F$4:$F$103,MATCH($A8,'4'!$C$4:$C$103,0)),"")&lt;&gt;"",IFERROR(INDEX('4'!$F$4:$F$103,MATCH($A8,'4'!$C$4:$C$103,0)),""),IFERROR(INDEX('5'!$F$4:$F$103,MATCH($A8,'5'!$C$4:$C$103,0)),""))))))</f>
        <v>Team DFM</v>
      </c>
      <c r="C8" s="13" t="str">
        <f>IF($A8="","",IF(IFERROR(INDEX(Barneveld!$D$4:$D$36,MATCH($A8,Barneveld!$C$4:$C$36,0)),"")&lt;&gt;"",IFERROR(INDEX(Barneveld!$D$4:$D$36,MATCH($A8,Barneveld!$C$4:$C$36,0)),""),IF(IFERROR(INDEX(Baarn!$E$4:$E$38,MATCH($A8,Baarn!$C$4:$C$38,0)),"")&lt;&gt;"",IFERROR(INDEX(Baarn!$E$4:$E$38,MATCH($A8,Baarn!$C$4:$C$38,0)),""),IF(IFERROR(INDEX(Scherpenzeel!$E$4:$E$103,MATCH($A8,Scherpenzeel!$C$4:$C$103,0)),"")&lt;&gt;"",IFERROR(INDEX(Scherpenzeel!$E$4:$E$103,MATCH($A8,Scherpenzeel!$C$4:$C$103,0)),""),IF(IFERROR(INDEX('4'!$E$4:$E$103,MATCH($A8,'4'!$C$4:$C$103,0)),"")&lt;&gt;"",IFERROR(INDEX('4'!$E$4:$E$103,MATCH($A8,'4'!$C$4:$C$103,0)),""),IFERROR(INDEX('5'!$E$4:$E$103,MATCH($A8,'5'!$C$4:$C$103,0)),""))))))</f>
        <v>KNWU Licentie (Premium)</v>
      </c>
      <c r="D8" s="24" t="str">
        <f>IF($A8="","",IFERROR(INDEX(Barneveld!$A$4:$A$36,MATCH($A8,Barneveld!$C$4:$C$36,0)),""))</f>
        <v/>
      </c>
      <c r="E8" s="15">
        <f>IF($A8="",0,IFERROR(INDEX(Barneveld!$H$4:$H$36,MATCH($A8,Barneveld!$C$4:$C$36,0)),0))</f>
        <v>0</v>
      </c>
      <c r="F8" s="24">
        <f>IF($A8="","",IFERROR(INDEX(Baarn!$A$4:$A$38,MATCH($A8,Baarn!$C$4:$C$38,0)),""))</f>
        <v>4</v>
      </c>
      <c r="G8" s="15">
        <f>IF($A8="",0,IFERROR(INDEX(Baarn!$I$4:$I$38,MATCH($A8,Baarn!$C$4:$C$38,0)),0))</f>
        <v>80</v>
      </c>
      <c r="H8" s="24">
        <f>IF($A8="","",IFERROR(INDEX(Scherpenzeel!$A$4:$A$103,MATCH($A8,Scherpenzeel!$C$4:$C$103,0)),""))</f>
        <v>8</v>
      </c>
      <c r="I8" s="15">
        <f>IF($A8="",0,IFERROR(INDEX(Scherpenzeel!$I$4:$I$103,MATCH($A8,Scherpenzeel!$C$4:$C$103,0)),0))</f>
        <v>62</v>
      </c>
      <c r="J8" s="24" t="str">
        <f>IF($A8="","",IFERROR(INDEX('4'!$A$4:$A$103,MATCH($A8,'4'!$C$4:$C$103,0)),""))</f>
        <v/>
      </c>
      <c r="K8" s="15">
        <f>IF($A8="",0,IFERROR(INDEX('4'!$I$4:$I$103,MATCH($A8,'4'!$C$4:$C$103,0)),0))</f>
        <v>0</v>
      </c>
      <c r="L8" s="24" t="str">
        <f>IF($A8="","",IFERROR(INDEX('5'!$A$4:$A$103,MATCH($A8,'5'!$C$4:$C$103,0)),""))</f>
        <v/>
      </c>
      <c r="M8" s="15">
        <f>IF($A8="",0,IFERROR(INDEX('5'!$I$4:$I$103,MATCH($A8,'5'!$C$4:$C$103,0)),0))</f>
        <v>0</v>
      </c>
      <c r="N8" s="25">
        <f>IF($A8="","",E8+G8+I8+K8+M8)</f>
        <v>142</v>
      </c>
      <c r="O8" s="26">
        <f>IF(OR($A8="",N8="",N8=0),"",RANK(N8,$N$4:$N$203,0))</f>
        <v>5</v>
      </c>
      <c r="AA8" t="str">
        <f>Barneveld!C11</f>
        <v>Daan Switters</v>
      </c>
      <c r="AB8">
        <f>IF(AA8="",0,IF(COUNTIF($AA$1:AA8,AA8)=1,1,0))</f>
        <v>1</v>
      </c>
      <c r="AC8">
        <f>IF(AB8=1,COUNTIF($AB$1:AB8,1),"")</f>
        <v>8</v>
      </c>
    </row>
    <row r="9" spans="1:29" x14ac:dyDescent="0.25">
      <c r="A9" s="13" t="str">
        <f>IFERROR(INDEX($AA$1:$AA$368,MATCH(7,$AC$1:$AC$368,0)),"")</f>
        <v>Patrick van Veldhuizen</v>
      </c>
      <c r="B9" s="13" t="str">
        <f>IF($A9="","",IF(IFERROR(INDEX(Barneveld!$E$4:$E$36,MATCH($A9,Barneveld!$C$4:$C$36,0)),"")&lt;&gt;"",IFERROR(INDEX(Barneveld!$E$4:$E$36,MATCH($A9,Barneveld!$C$4:$C$36,0)),""),IF(IFERROR(INDEX(Baarn!$F$4:$F$38,MATCH($A9,Baarn!$C$4:$C$38,0)),"")&lt;&gt;"",IFERROR(INDEX(Baarn!$F$4:$F$38,MATCH($A9,Baarn!$C$4:$C$38,0)),""),IF(IFERROR(INDEX(Scherpenzeel!$F$4:$F$103,MATCH($A9,Scherpenzeel!$C$4:$C$103,0)),"")&lt;&gt;"",IFERROR(INDEX(Scherpenzeel!$F$4:$F$103,MATCH($A9,Scherpenzeel!$C$4:$C$103,0)),""),IF(IFERROR(INDEX('4'!$F$4:$F$103,MATCH($A9,'4'!$C$4:$C$103,0)),"")&lt;&gt;"",IFERROR(INDEX('4'!$F$4:$F$103,MATCH($A9,'4'!$C$4:$C$103,0)),""),IFERROR(INDEX('5'!$F$4:$F$103,MATCH($A9,'5'!$C$4:$C$103,0)),""))))))</f>
        <v/>
      </c>
      <c r="C9" s="13" t="str">
        <f>IF($A9="","",IF(IFERROR(INDEX(Barneveld!$D$4:$D$36,MATCH($A9,Barneveld!$C$4:$C$36,0)),"")&lt;&gt;"",IFERROR(INDEX(Barneveld!$D$4:$D$36,MATCH($A9,Barneveld!$C$4:$C$36,0)),""),IF(IFERROR(INDEX(Baarn!$E$4:$E$38,MATCH($A9,Baarn!$C$4:$C$38,0)),"")&lt;&gt;"",IFERROR(INDEX(Baarn!$E$4:$E$38,MATCH($A9,Baarn!$C$4:$C$38,0)),""),IF(IFERROR(INDEX(Scherpenzeel!$E$4:$E$103,MATCH($A9,Scherpenzeel!$C$4:$C$103,0)),"")&lt;&gt;"",IFERROR(INDEX(Scherpenzeel!$E$4:$E$103,MATCH($A9,Scherpenzeel!$C$4:$C$103,0)),""),IF(IFERROR(INDEX('4'!$E$4:$E$103,MATCH($A9,'4'!$C$4:$C$103,0)),"")&lt;&gt;"",IFERROR(INDEX('4'!$E$4:$E$103,MATCH($A9,'4'!$C$4:$C$103,0)),""),IFERROR(INDEX('5'!$E$4:$E$103,MATCH($A9,'5'!$C$4:$C$103,0)),""))))))</f>
        <v>KNWU Licentie (Plus)</v>
      </c>
      <c r="D9" s="24">
        <f>IF($A9="","",IFERROR(INDEX(Barneveld!$A$4:$A$36,MATCH($A9,Barneveld!$C$4:$C$36,0)),""))</f>
        <v>7</v>
      </c>
      <c r="E9" s="15">
        <f>IF($A9="",0,IFERROR(INDEX(Barneveld!$H$4:$H$36,MATCH($A9,Barneveld!$C$4:$C$36,0)),0))</f>
        <v>66</v>
      </c>
      <c r="F9" s="24" t="str">
        <f>IF($A9="","",IFERROR(INDEX(Baarn!$A$4:$A$38,MATCH($A9,Baarn!$C$4:$C$38,0)),""))</f>
        <v/>
      </c>
      <c r="G9" s="15">
        <f>IF($A9="",0,IFERROR(INDEX(Baarn!$I$4:$I$38,MATCH($A9,Baarn!$C$4:$C$38,0)),0))</f>
        <v>0</v>
      </c>
      <c r="H9" s="24">
        <f>IF($A9="","",IFERROR(INDEX(Scherpenzeel!$A$4:$A$103,MATCH($A9,Scherpenzeel!$C$4:$C$103,0)),""))</f>
        <v>7</v>
      </c>
      <c r="I9" s="15">
        <f>IF($A9="",0,IFERROR(INDEX(Scherpenzeel!$I$4:$I$103,MATCH($A9,Scherpenzeel!$C$4:$C$103,0)),0))</f>
        <v>66</v>
      </c>
      <c r="J9" s="24" t="str">
        <f>IF($A9="","",IFERROR(INDEX('4'!$A$4:$A$103,MATCH($A9,'4'!$C$4:$C$103,0)),""))</f>
        <v/>
      </c>
      <c r="K9" s="15">
        <f>IF($A9="",0,IFERROR(INDEX('4'!$I$4:$I$103,MATCH($A9,'4'!$C$4:$C$103,0)),0))</f>
        <v>0</v>
      </c>
      <c r="L9" s="24" t="str">
        <f>IF($A9="","",IFERROR(INDEX('5'!$A$4:$A$103,MATCH($A9,'5'!$C$4:$C$103,0)),""))</f>
        <v/>
      </c>
      <c r="M9" s="15">
        <f>IF($A9="",0,IFERROR(INDEX('5'!$I$4:$I$103,MATCH($A9,'5'!$C$4:$C$103,0)),0))</f>
        <v>0</v>
      </c>
      <c r="N9" s="25">
        <f>IF($A9="","",E9+G9+I9+K9+M9)</f>
        <v>132</v>
      </c>
      <c r="O9" s="26">
        <f>IF(OR($A9="",N9="",N9=0),"",RANK(N9,$N$4:$N$203,0))</f>
        <v>6</v>
      </c>
      <c r="AA9" t="str">
        <f>Barneveld!C12</f>
        <v>Rick Veenhoven</v>
      </c>
      <c r="AB9">
        <f>IF(AA9="",0,IF(COUNTIF($AA$1:AA9,AA9)=1,1,0))</f>
        <v>1</v>
      </c>
      <c r="AC9">
        <f>IF(AB9=1,COUNTIF($AB$1:AB9,1),"")</f>
        <v>9</v>
      </c>
    </row>
    <row r="10" spans="1:29" x14ac:dyDescent="0.25">
      <c r="A10" s="13" t="str">
        <f>IFERROR(INDEX($AA$1:$AA$368,MATCH(5,$AC$1:$AC$368,0)),"")</f>
        <v>Steven Stenekes</v>
      </c>
      <c r="B10" s="13" t="str">
        <f>IF($A10="","",IF(IFERROR(INDEX(Barneveld!$E$4:$E$36,MATCH($A10,Barneveld!$C$4:$C$36,0)),"")&lt;&gt;"",IFERROR(INDEX(Barneveld!$E$4:$E$36,MATCH($A10,Barneveld!$C$4:$C$36,0)),""),IF(IFERROR(INDEX(Baarn!$F$4:$F$38,MATCH($A10,Baarn!$C$4:$C$38,0)),"")&lt;&gt;"",IFERROR(INDEX(Baarn!$F$4:$F$38,MATCH($A10,Baarn!$C$4:$C$38,0)),""),IF(IFERROR(INDEX(Scherpenzeel!$F$4:$F$103,MATCH($A10,Scherpenzeel!$C$4:$C$103,0)),"")&lt;&gt;"",IFERROR(INDEX(Scherpenzeel!$F$4:$F$103,MATCH($A10,Scherpenzeel!$C$4:$C$103,0)),""),IF(IFERROR(INDEX('4'!$F$4:$F$103,MATCH($A10,'4'!$C$4:$C$103,0)),"")&lt;&gt;"",IFERROR(INDEX('4'!$F$4:$F$103,MATCH($A10,'4'!$C$4:$C$103,0)),""),IFERROR(INDEX('5'!$F$4:$F$103,MATCH($A10,'5'!$C$4:$C$103,0)),""))))))</f>
        <v>KNWU</v>
      </c>
      <c r="C10" s="13" t="str">
        <f>IF($A10="","",IF(IFERROR(INDEX(Barneveld!$D$4:$D$36,MATCH($A10,Barneveld!$C$4:$C$36,0)),"")&lt;&gt;"",IFERROR(INDEX(Barneveld!$D$4:$D$36,MATCH($A10,Barneveld!$C$4:$C$36,0)),""),IF(IFERROR(INDEX(Baarn!$E$4:$E$38,MATCH($A10,Baarn!$C$4:$C$38,0)),"")&lt;&gt;"",IFERROR(INDEX(Baarn!$E$4:$E$38,MATCH($A10,Baarn!$C$4:$C$38,0)),""),IF(IFERROR(INDEX(Scherpenzeel!$E$4:$E$103,MATCH($A10,Scherpenzeel!$C$4:$C$103,0)),"")&lt;&gt;"",IFERROR(INDEX(Scherpenzeel!$E$4:$E$103,MATCH($A10,Scherpenzeel!$C$4:$C$103,0)),""),IF(IFERROR(INDEX('4'!$E$4:$E$103,MATCH($A10,'4'!$C$4:$C$103,0)),"")&lt;&gt;"",IFERROR(INDEX('4'!$E$4:$E$103,MATCH($A10,'4'!$C$4:$C$103,0)),""),IFERROR(INDEX('5'!$E$4:$E$103,MATCH($A10,'5'!$C$4:$C$103,0)),""))))))</f>
        <v>KNWU Licentie (Plus)</v>
      </c>
      <c r="D10" s="24">
        <f>IF($A10="","",IFERROR(INDEX(Barneveld!$A$4:$A$36,MATCH($A10,Barneveld!$C$4:$C$36,0)),""))</f>
        <v>5</v>
      </c>
      <c r="E10" s="15">
        <f>IF($A10="",0,IFERROR(INDEX(Barneveld!$H$4:$H$36,MATCH($A10,Barneveld!$C$4:$C$36,0)),0))</f>
        <v>75</v>
      </c>
      <c r="F10" s="24" t="str">
        <f>IF($A10="","",IFERROR(INDEX(Baarn!$A$4:$A$38,MATCH($A10,Baarn!$C$4:$C$38,0)),""))</f>
        <v/>
      </c>
      <c r="G10" s="15">
        <f>IF($A10="",0,IFERROR(INDEX(Baarn!$I$4:$I$38,MATCH($A10,Baarn!$C$4:$C$38,0)),0))</f>
        <v>0</v>
      </c>
      <c r="H10" s="24" t="str">
        <f>IF($A10="","",IFERROR(INDEX(Scherpenzeel!$A$4:$A$103,MATCH($A10,Scherpenzeel!$C$4:$C$103,0)),""))</f>
        <v>10</v>
      </c>
      <c r="I10" s="15">
        <v>54</v>
      </c>
      <c r="J10" s="24" t="str">
        <f>IF($A10="","",IFERROR(INDEX('4'!$A$4:$A$103,MATCH($A10,'4'!$C$4:$C$103,0)),""))</f>
        <v/>
      </c>
      <c r="K10" s="15">
        <f>IF($A10="",0,IFERROR(INDEX('4'!$I$4:$I$103,MATCH($A10,'4'!$C$4:$C$103,0)),0))</f>
        <v>0</v>
      </c>
      <c r="L10" s="24" t="str">
        <f>IF($A10="","",IFERROR(INDEX('5'!$A$4:$A$103,MATCH($A10,'5'!$C$4:$C$103,0)),""))</f>
        <v/>
      </c>
      <c r="M10" s="15">
        <f>IF($A10="",0,IFERROR(INDEX('5'!$I$4:$I$103,MATCH($A10,'5'!$C$4:$C$103,0)),0))</f>
        <v>0</v>
      </c>
      <c r="N10" s="25">
        <f>IF($A10="","",E10+G10+I10+K10+M10)</f>
        <v>129</v>
      </c>
      <c r="O10" s="26">
        <f>IF(OR($A10="",N10="",N10=0),"",RANK(N10,$N$4:$N$203,0))</f>
        <v>7</v>
      </c>
      <c r="AA10" t="str">
        <f>Barneveld!C13</f>
        <v>Ruben Ubels</v>
      </c>
      <c r="AB10">
        <f>IF(AA10="",0,IF(COUNTIF($AA$1:AA10,AA10)=1,1,0))</f>
        <v>1</v>
      </c>
      <c r="AC10">
        <f>IF(AB10=1,COUNTIF($AB$1:AB10,1),"")</f>
        <v>10</v>
      </c>
    </row>
    <row r="11" spans="1:29" x14ac:dyDescent="0.25">
      <c r="A11" s="13" t="str">
        <f>IFERROR(INDEX($AA$1:$AA$368,MATCH(16,$AC$1:$AC$368,0)),"")</f>
        <v>Nout Remeeus</v>
      </c>
      <c r="B11" s="13" t="str">
        <f>IF($A11="","",IF(IFERROR(INDEX(Barneveld!$E$4:$E$36,MATCH($A11,Barneveld!$C$4:$C$36,0)),"")&lt;&gt;"",IFERROR(INDEX(Barneveld!$E$4:$E$36,MATCH($A11,Barneveld!$C$4:$C$36,0)),""),IF(IFERROR(INDEX(Baarn!$F$4:$F$38,MATCH($A11,Baarn!$C$4:$C$38,0)),"")&lt;&gt;"",IFERROR(INDEX(Baarn!$F$4:$F$38,MATCH($A11,Baarn!$C$4:$C$38,0)),""),IF(IFERROR(INDEX(Scherpenzeel!$F$4:$F$103,MATCH($A11,Scherpenzeel!$C$4:$C$103,0)),"")&lt;&gt;"",IFERROR(INDEX(Scherpenzeel!$F$4:$F$103,MATCH($A11,Scherpenzeel!$C$4:$C$103,0)),""),IF(IFERROR(INDEX('4'!$F$4:$F$103,MATCH($A11,'4'!$C$4:$C$103,0)),"")&lt;&gt;"",IFERROR(INDEX('4'!$F$4:$F$103,MATCH($A11,'4'!$C$4:$C$103,0)),""),IFERROR(INDEX('5'!$F$4:$F$103,MATCH($A11,'5'!$C$4:$C$103,0)),""))))))</f>
        <v>GWC de Adelaar</v>
      </c>
      <c r="C11" s="13" t="str">
        <f>IF($A11="","",IF(IFERROR(INDEX(Barneveld!$D$4:$D$36,MATCH($A11,Barneveld!$C$4:$C$36,0)),"")&lt;&gt;"",IFERROR(INDEX(Barneveld!$D$4:$D$36,MATCH($A11,Barneveld!$C$4:$C$36,0)),""),IF(IFERROR(INDEX(Baarn!$E$4:$E$38,MATCH($A11,Baarn!$C$4:$C$38,0)),"")&lt;&gt;"",IFERROR(INDEX(Baarn!$E$4:$E$38,MATCH($A11,Baarn!$C$4:$C$38,0)),""),IF(IFERROR(INDEX(Scherpenzeel!$E$4:$E$103,MATCH($A11,Scherpenzeel!$C$4:$C$103,0)),"")&lt;&gt;"",IFERROR(INDEX(Scherpenzeel!$E$4:$E$103,MATCH($A11,Scherpenzeel!$C$4:$C$103,0)),""),IF(IFERROR(INDEX('4'!$E$4:$E$103,MATCH($A11,'4'!$C$4:$C$103,0)),"")&lt;&gt;"",IFERROR(INDEX('4'!$E$4:$E$103,MATCH($A11,'4'!$C$4:$C$103,0)),""),IFERROR(INDEX('5'!$E$4:$E$103,MATCH($A11,'5'!$C$4:$C$103,0)),""))))))</f>
        <v>Junior (U19)</v>
      </c>
      <c r="D11" s="24">
        <f>IF($A11="","",IFERROR(INDEX(Barneveld!$A$4:$A$36,MATCH($A11,Barneveld!$C$4:$C$36,0)),""))</f>
        <v>16</v>
      </c>
      <c r="E11" s="15">
        <f>IF($A11="",0,IFERROR(INDEX(Barneveld!$H$4:$H$36,MATCH($A11,Barneveld!$C$4:$C$36,0)),0))</f>
        <v>35</v>
      </c>
      <c r="F11" s="24">
        <f>IF($A11="","",IFERROR(INDEX(Baarn!$A$4:$A$38,MATCH($A11,Baarn!$C$4:$C$38,0)),""))</f>
        <v>11</v>
      </c>
      <c r="G11" s="15">
        <f>IF($A11="",0,IFERROR(INDEX(Baarn!$I$4:$I$38,MATCH($A11,Baarn!$C$4:$C$38,0)),0))</f>
        <v>50</v>
      </c>
      <c r="H11" s="24" t="str">
        <f>IF($A11="","",IFERROR(INDEX(Scherpenzeel!$A$4:$A$103,MATCH($A11,Scherpenzeel!$C$4:$C$103,0)),""))</f>
        <v>15</v>
      </c>
      <c r="I11" s="15">
        <v>38</v>
      </c>
      <c r="J11" s="24" t="str">
        <f>IF($A11="","",IFERROR(INDEX('4'!$A$4:$A$103,MATCH($A11,'4'!$C$4:$C$103,0)),""))</f>
        <v/>
      </c>
      <c r="K11" s="15">
        <f>IF($A11="",0,IFERROR(INDEX('4'!$I$4:$I$103,MATCH($A11,'4'!$C$4:$C$103,0)),0))</f>
        <v>0</v>
      </c>
      <c r="L11" s="24" t="str">
        <f>IF($A11="","",IFERROR(INDEX('5'!$A$4:$A$103,MATCH($A11,'5'!$C$4:$C$103,0)),""))</f>
        <v/>
      </c>
      <c r="M11" s="15">
        <f>IF($A11="",0,IFERROR(INDEX('5'!$I$4:$I$103,MATCH($A11,'5'!$C$4:$C$103,0)),0))</f>
        <v>0</v>
      </c>
      <c r="N11" s="25">
        <f>IF($A11="","",E11+G11+I11+K11+M11)</f>
        <v>123</v>
      </c>
      <c r="O11" s="26">
        <f>IF(OR($A11="",N11="",N11=0),"",RANK(N11,$N$4:$N$203,0))</f>
        <v>8</v>
      </c>
      <c r="AA11" t="str">
        <f>Barneveld!C14</f>
        <v>Eddy van IJzendoorn</v>
      </c>
      <c r="AB11">
        <f>IF(AA11="",0,IF(COUNTIF($AA$1:AA11,AA11)=1,1,0))</f>
        <v>1</v>
      </c>
      <c r="AC11">
        <f>IF(AB11=1,COUNTIF($AB$1:AB11,1),"")</f>
        <v>11</v>
      </c>
    </row>
    <row r="12" spans="1:29" x14ac:dyDescent="0.25">
      <c r="A12" s="13" t="str">
        <f>IFERROR(INDEX($AA$1:$AA$368,MATCH(10,$AC$1:$AC$368,0)),"")</f>
        <v>Ruben Ubels</v>
      </c>
      <c r="B12" s="13" t="str">
        <f>IF($A12="","",IF(IFERROR(INDEX(Barneveld!$E$4:$E$36,MATCH($A12,Barneveld!$C$4:$C$36,0)),"")&lt;&gt;"",IFERROR(INDEX(Barneveld!$E$4:$E$36,MATCH($A12,Barneveld!$C$4:$C$36,0)),""),IF(IFERROR(INDEX(Baarn!$F$4:$F$38,MATCH($A12,Baarn!$C$4:$C$38,0)),"")&lt;&gt;"",IFERROR(INDEX(Baarn!$F$4:$F$38,MATCH($A12,Baarn!$C$4:$C$38,0)),""),IF(IFERROR(INDEX(Scherpenzeel!$F$4:$F$103,MATCH($A12,Scherpenzeel!$C$4:$C$103,0)),"")&lt;&gt;"",IFERROR(INDEX(Scherpenzeel!$F$4:$F$103,MATCH($A12,Scherpenzeel!$C$4:$C$103,0)),""),IF(IFERROR(INDEX('4'!$F$4:$F$103,MATCH($A12,'4'!$C$4:$C$103,0)),"")&lt;&gt;"",IFERROR(INDEX('4'!$F$4:$F$103,MATCH($A12,'4'!$C$4:$C$103,0)),""),IFERROR(INDEX('5'!$F$4:$F$103,MATCH($A12,'5'!$C$4:$C$103,0)),""))))))</f>
        <v>Team DFM</v>
      </c>
      <c r="C12" s="13" t="str">
        <f>IF($A12="","",IF(IFERROR(INDEX(Barneveld!$D$4:$D$36,MATCH($A12,Barneveld!$C$4:$C$36,0)),"")&lt;&gt;"",IFERROR(INDEX(Barneveld!$D$4:$D$36,MATCH($A12,Barneveld!$C$4:$C$36,0)),""),IF(IFERROR(INDEX(Baarn!$E$4:$E$38,MATCH($A12,Baarn!$C$4:$C$38,0)),"")&lt;&gt;"",IFERROR(INDEX(Baarn!$E$4:$E$38,MATCH($A12,Baarn!$C$4:$C$38,0)),""),IF(IFERROR(INDEX(Scherpenzeel!$E$4:$E$103,MATCH($A12,Scherpenzeel!$C$4:$C$103,0)),"")&lt;&gt;"",IFERROR(INDEX(Scherpenzeel!$E$4:$E$103,MATCH($A12,Scherpenzeel!$C$4:$C$103,0)),""),IF(IFERROR(INDEX('4'!$E$4:$E$103,MATCH($A12,'4'!$C$4:$C$103,0)),"")&lt;&gt;"",IFERROR(INDEX('4'!$E$4:$E$103,MATCH($A12,'4'!$C$4:$C$103,0)),""),IFERROR(INDEX('5'!$E$4:$E$103,MATCH($A12,'5'!$C$4:$C$103,0)),""))))))</f>
        <v>KNWU Licentie (Plus)</v>
      </c>
      <c r="D12" s="24">
        <f>IF($A12="","",IFERROR(INDEX(Barneveld!$A$4:$A$36,MATCH($A12,Barneveld!$C$4:$C$36,0)),""))</f>
        <v>10</v>
      </c>
      <c r="E12" s="15">
        <f>IF($A12="",0,IFERROR(INDEX(Barneveld!$H$4:$H$36,MATCH($A12,Barneveld!$C$4:$C$36,0)),0))</f>
        <v>54</v>
      </c>
      <c r="F12" s="24">
        <f>IF($A12="","",IFERROR(INDEX(Baarn!$A$4:$A$38,MATCH($A12,Baarn!$C$4:$C$38,0)),""))</f>
        <v>9</v>
      </c>
      <c r="G12" s="15">
        <f>IF($A12="",0,IFERROR(INDEX(Baarn!$I$4:$I$38,MATCH($A12,Baarn!$C$4:$C$38,0)),0))</f>
        <v>58</v>
      </c>
      <c r="H12" s="24" t="str">
        <f>IF($A12="","",IFERROR(INDEX(Scherpenzeel!$A$4:$A$103,MATCH($A12,Scherpenzeel!$C$4:$C$103,0)),""))</f>
        <v>DNF</v>
      </c>
      <c r="I12" s="15">
        <f>IF($A12="",0,IFERROR(INDEX(Scherpenzeel!$I$4:$I$103,MATCH($A12,Scherpenzeel!$C$4:$C$103,0)),0))</f>
        <v>1</v>
      </c>
      <c r="J12" s="24" t="str">
        <f>IF($A12="","",IFERROR(INDEX('4'!$A$4:$A$103,MATCH($A12,'4'!$C$4:$C$103,0)),""))</f>
        <v/>
      </c>
      <c r="K12" s="15">
        <f>IF($A12="",0,IFERROR(INDEX('4'!$I$4:$I$103,MATCH($A12,'4'!$C$4:$C$103,0)),0))</f>
        <v>0</v>
      </c>
      <c r="L12" s="24" t="str">
        <f>IF($A12="","",IFERROR(INDEX('5'!$A$4:$A$103,MATCH($A12,'5'!$C$4:$C$103,0)),""))</f>
        <v/>
      </c>
      <c r="M12" s="15">
        <f>IF($A12="",0,IFERROR(INDEX('5'!$I$4:$I$103,MATCH($A12,'5'!$C$4:$C$103,0)),0))</f>
        <v>0</v>
      </c>
      <c r="N12" s="25">
        <f>IF($A12="","",E12+G12+I12+K12+M12)</f>
        <v>113</v>
      </c>
      <c r="O12" s="26">
        <f>IF(OR($A12="",N12="",N12=0),"",RANK(N12,$N$4:$N$203,0))</f>
        <v>9</v>
      </c>
      <c r="AA12" t="str">
        <f>Barneveld!C15</f>
        <v>Rick Vroege</v>
      </c>
      <c r="AB12">
        <f>IF(AA12="",0,IF(COUNTIF($AA$1:AA12,AA12)=1,1,0))</f>
        <v>1</v>
      </c>
      <c r="AC12">
        <f>IF(AB12=1,COUNTIF($AB$1:AB12,1),"")</f>
        <v>12</v>
      </c>
    </row>
    <row r="13" spans="1:29" x14ac:dyDescent="0.25">
      <c r="A13" s="13" t="str">
        <f>IFERROR(INDEX($AA$1:$AA$368,MATCH(19,$AC$1:$AC$368,0)),"")</f>
        <v>Melvin Drost</v>
      </c>
      <c r="B13" s="13" t="str">
        <f>IF($A13="","",IF(IFERROR(INDEX(Barneveld!$E$4:$E$36,MATCH($A13,Barneveld!$C$4:$C$36,0)),"")&lt;&gt;"",IFERROR(INDEX(Barneveld!$E$4:$E$36,MATCH($A13,Barneveld!$C$4:$C$36,0)),""),IF(IFERROR(INDEX(Baarn!$F$4:$F$38,MATCH($A13,Baarn!$C$4:$C$38,0)),"")&lt;&gt;"",IFERROR(INDEX(Baarn!$F$4:$F$38,MATCH($A13,Baarn!$C$4:$C$38,0)),""),IF(IFERROR(INDEX(Scherpenzeel!$F$4:$F$103,MATCH($A13,Scherpenzeel!$C$4:$C$103,0)),"")&lt;&gt;"",IFERROR(INDEX(Scherpenzeel!$F$4:$F$103,MATCH($A13,Scherpenzeel!$C$4:$C$103,0)),""),IF(IFERROR(INDEX('4'!$F$4:$F$103,MATCH($A13,'4'!$C$4:$C$103,0)),"")&lt;&gt;"",IFERROR(INDEX('4'!$F$4:$F$103,MATCH($A13,'4'!$C$4:$C$103,0)),""),IFERROR(INDEX('5'!$F$4:$F$103,MATCH($A13,'5'!$C$4:$C$103,0)),""))))))</f>
        <v>WV de Valleirenners AXA</v>
      </c>
      <c r="C13" s="13" t="str">
        <f>IF($A13="","",IF(IFERROR(INDEX(Barneveld!$D$4:$D$36,MATCH($A13,Barneveld!$C$4:$C$36,0)),"")&lt;&gt;"",IFERROR(INDEX(Barneveld!$D$4:$D$36,MATCH($A13,Barneveld!$C$4:$C$36,0)),""),IF(IFERROR(INDEX(Baarn!$E$4:$E$38,MATCH($A13,Baarn!$C$4:$C$38,0)),"")&lt;&gt;"",IFERROR(INDEX(Baarn!$E$4:$E$38,MATCH($A13,Baarn!$C$4:$C$38,0)),""),IF(IFERROR(INDEX(Scherpenzeel!$E$4:$E$103,MATCH($A13,Scherpenzeel!$C$4:$C$103,0)),"")&lt;&gt;"",IFERROR(INDEX(Scherpenzeel!$E$4:$E$103,MATCH($A13,Scherpenzeel!$C$4:$C$103,0)),""),IF(IFERROR(INDEX('4'!$E$4:$E$103,MATCH($A13,'4'!$C$4:$C$103,0)),"")&lt;&gt;"",IFERROR(INDEX('4'!$E$4:$E$103,MATCH($A13,'4'!$C$4:$C$103,0)),""),IFERROR(INDEX('5'!$E$4:$E$103,MATCH($A13,'5'!$C$4:$C$103,0)),""))))))</f>
        <v>KNWU Licentie (Plus)</v>
      </c>
      <c r="D13" s="24">
        <f>IF($A13="","",IFERROR(INDEX(Barneveld!$A$4:$A$36,MATCH($A13,Barneveld!$C$4:$C$36,0)),""))</f>
        <v>19</v>
      </c>
      <c r="E13" s="15">
        <f>IF($A13="",0,IFERROR(INDEX(Barneveld!$H$4:$H$36,MATCH($A13,Barneveld!$C$4:$C$36,0)),0))</f>
        <v>26</v>
      </c>
      <c r="F13" s="24" t="str">
        <f>IF($A13="","",IFERROR(INDEX(Baarn!$A$4:$A$38,MATCH($A13,Baarn!$C$4:$C$38,0)),""))</f>
        <v/>
      </c>
      <c r="G13" s="15">
        <f>IF($A13="",0,IFERROR(INDEX(Baarn!$I$4:$I$38,MATCH($A13,Baarn!$C$4:$C$38,0)),0))</f>
        <v>0</v>
      </c>
      <c r="H13" s="24">
        <f>IF($A13="","",IFERROR(INDEX(Scherpenzeel!$A$4:$A$103,MATCH($A13,Scherpenzeel!$C$4:$C$103,0)),""))</f>
        <v>3</v>
      </c>
      <c r="I13" s="15">
        <f>IF($A13="",0,IFERROR(INDEX(Scherpenzeel!$I$4:$I$103,MATCH($A13,Scherpenzeel!$C$4:$C$103,0)),0))</f>
        <v>85</v>
      </c>
      <c r="J13" s="24" t="str">
        <f>IF($A13="","",IFERROR(INDEX('4'!$A$4:$A$103,MATCH($A13,'4'!$C$4:$C$103,0)),""))</f>
        <v/>
      </c>
      <c r="K13" s="15">
        <f>IF($A13="",0,IFERROR(INDEX('4'!$I$4:$I$103,MATCH($A13,'4'!$C$4:$C$103,0)),0))</f>
        <v>0</v>
      </c>
      <c r="L13" s="24" t="str">
        <f>IF($A13="","",IFERROR(INDEX('5'!$A$4:$A$103,MATCH($A13,'5'!$C$4:$C$103,0)),""))</f>
        <v/>
      </c>
      <c r="M13" s="15">
        <f>IF($A13="",0,IFERROR(INDEX('5'!$I$4:$I$103,MATCH($A13,'5'!$C$4:$C$103,0)),0))</f>
        <v>0</v>
      </c>
      <c r="N13" s="25">
        <f>IF($A13="","",E13+G13+I13+K13+M13)</f>
        <v>111</v>
      </c>
      <c r="O13" s="26">
        <f>IF(OR($A13="",N13="",N13=0),"",RANK(N13,$N$4:$N$203,0))</f>
        <v>10</v>
      </c>
      <c r="AA13" t="str">
        <f>Barneveld!C16</f>
        <v>Egon Nanninga</v>
      </c>
      <c r="AB13">
        <f>IF(AA13="",0,IF(COUNTIF($AA$1:AA13,AA13)=1,1,0))</f>
        <v>1</v>
      </c>
      <c r="AC13">
        <f>IF(AB13=1,COUNTIF($AB$1:AB13,1),"")</f>
        <v>13</v>
      </c>
    </row>
    <row r="14" spans="1:29" x14ac:dyDescent="0.25">
      <c r="A14" s="13" t="str">
        <f>IFERROR(INDEX($AA$1:$AA$368,MATCH(1,$AC$1:$AC$368,0)),"")</f>
        <v>Peter Stienstra</v>
      </c>
      <c r="B14" s="13" t="str">
        <f>IF($A14="","",IF(IFERROR(INDEX(Barneveld!$E$4:$E$36,MATCH($A14,Barneveld!$C$4:$C$36,0)),"")&lt;&gt;"",IFERROR(INDEX(Barneveld!$E$4:$E$36,MATCH($A14,Barneveld!$C$4:$C$36,0)),""),IF(IFERROR(INDEX(Baarn!$F$4:$F$38,MATCH($A14,Baarn!$C$4:$C$38,0)),"")&lt;&gt;"",IFERROR(INDEX(Baarn!$F$4:$F$38,MATCH($A14,Baarn!$C$4:$C$38,0)),""),IF(IFERROR(INDEX(Scherpenzeel!$F$4:$F$103,MATCH($A14,Scherpenzeel!$C$4:$C$103,0)),"")&lt;&gt;"",IFERROR(INDEX(Scherpenzeel!$F$4:$F$103,MATCH($A14,Scherpenzeel!$C$4:$C$103,0)),""),IF(IFERROR(INDEX('4'!$F$4:$F$103,MATCH($A14,'4'!$C$4:$C$103,0)),"")&lt;&gt;"",IFERROR(INDEX('4'!$F$4:$F$103,MATCH($A14,'4'!$C$4:$C$103,0)),""),IFERROR(INDEX('5'!$F$4:$F$103,MATCH($A14,'5'!$C$4:$C$103,0)),""))))))</f>
        <v/>
      </c>
      <c r="C14" s="13" t="str">
        <f>IF($A14="","",IF(IFERROR(INDEX(Barneveld!$D$4:$D$36,MATCH($A14,Barneveld!$C$4:$C$36,0)),"")&lt;&gt;"",IFERROR(INDEX(Barneveld!$D$4:$D$36,MATCH($A14,Barneveld!$C$4:$C$36,0)),""),IF(IFERROR(INDEX(Baarn!$E$4:$E$38,MATCH($A14,Baarn!$C$4:$C$38,0)),"")&lt;&gt;"",IFERROR(INDEX(Baarn!$E$4:$E$38,MATCH($A14,Baarn!$C$4:$C$38,0)),""),IF(IFERROR(INDEX(Scherpenzeel!$E$4:$E$103,MATCH($A14,Scherpenzeel!$C$4:$C$103,0)),"")&lt;&gt;"",IFERROR(INDEX(Scherpenzeel!$E$4:$E$103,MATCH($A14,Scherpenzeel!$C$4:$C$103,0)),""),IF(IFERROR(INDEX('4'!$E$4:$E$103,MATCH($A14,'4'!$C$4:$C$103,0)),"")&lt;&gt;"",IFERROR(INDEX('4'!$E$4:$E$103,MATCH($A14,'4'!$C$4:$C$103,0)),""),IFERROR(INDEX('5'!$E$4:$E$103,MATCH($A14,'5'!$C$4:$C$103,0)),""))))))</f>
        <v>KNWU Licentie (Plus)</v>
      </c>
      <c r="D14" s="24">
        <f>IF($A14="","",IFERROR(INDEX(Barneveld!$A$4:$A$36,MATCH($A14,Barneveld!$C$4:$C$36,0)),""))</f>
        <v>1</v>
      </c>
      <c r="E14" s="15">
        <f>IF($A14="",0,IFERROR(INDEX(Barneveld!$H$4:$H$36,MATCH($A14,Barneveld!$C$4:$C$36,0)),0))</f>
        <v>100.1</v>
      </c>
      <c r="F14" s="24" t="str">
        <f>IF($A14="","",IFERROR(INDEX(Baarn!$A$4:$A$38,MATCH($A14,Baarn!$C$4:$C$38,0)),""))</f>
        <v/>
      </c>
      <c r="G14" s="15">
        <f>IF($A14="",0,IFERROR(INDEX(Baarn!$I$4:$I$38,MATCH($A14,Baarn!$C$4:$C$38,0)),0))</f>
        <v>0</v>
      </c>
      <c r="H14" s="24" t="str">
        <f>IF($A14="","",IFERROR(INDEX(Scherpenzeel!$A$4:$A$103,MATCH($A14,Scherpenzeel!$C$4:$C$103,0)),""))</f>
        <v/>
      </c>
      <c r="I14" s="15">
        <f>IF($A14="",0,IFERROR(INDEX(Scherpenzeel!$I$4:$I$103,MATCH($A14,Scherpenzeel!$C$4:$C$103,0)),0))</f>
        <v>0</v>
      </c>
      <c r="J14" s="24" t="str">
        <f>IF($A14="","",IFERROR(INDEX('4'!$A$4:$A$103,MATCH($A14,'4'!$C$4:$C$103,0)),""))</f>
        <v/>
      </c>
      <c r="K14" s="15">
        <f>IF($A14="",0,IFERROR(INDEX('4'!$I$4:$I$103,MATCH($A14,'4'!$C$4:$C$103,0)),0))</f>
        <v>0</v>
      </c>
      <c r="L14" s="24" t="str">
        <f>IF($A14="","",IFERROR(INDEX('5'!$A$4:$A$103,MATCH($A14,'5'!$C$4:$C$103,0)),""))</f>
        <v/>
      </c>
      <c r="M14" s="15">
        <f>IF($A14="",0,IFERROR(INDEX('5'!$I$4:$I$103,MATCH($A14,'5'!$C$4:$C$103,0)),0))</f>
        <v>0</v>
      </c>
      <c r="N14" s="25">
        <f>IF($A14="","",E14+G14+I14+K14+M14)</f>
        <v>100.1</v>
      </c>
      <c r="O14" s="26">
        <f>IF(OR($A14="",N14="",N14=0),"",RANK(N14,$N$4:$N$203,0))</f>
        <v>11</v>
      </c>
      <c r="AA14" t="str">
        <f>Barneveld!C17</f>
        <v>Ties Veldkamp</v>
      </c>
      <c r="AB14">
        <f>IF(AA14="",0,IF(COUNTIF($AA$1:AA14,AA14)=1,1,0))</f>
        <v>1</v>
      </c>
      <c r="AC14">
        <f>IF(AB14=1,COUNTIF($AB$1:AB14,1),"")</f>
        <v>14</v>
      </c>
    </row>
    <row r="15" spans="1:29" x14ac:dyDescent="0.25">
      <c r="A15" s="13" t="str">
        <f>IFERROR(INDEX($AA$1:$AA$368,MATCH(33,$AC$1:$AC$368,0)),"")</f>
        <v>Florijn van der Vliet</v>
      </c>
      <c r="B15" s="13" t="str">
        <f>IF($A15="","",IF(IFERROR(INDEX(Barneveld!$E$4:$E$36,MATCH($A15,Barneveld!$C$4:$C$36,0)),"")&lt;&gt;"",IFERROR(INDEX(Barneveld!$E$4:$E$36,MATCH($A15,Barneveld!$C$4:$C$36,0)),""),IF(IFERROR(INDEX(Baarn!$F$4:$F$38,MATCH($A15,Baarn!$C$4:$C$38,0)),"")&lt;&gt;"",IFERROR(INDEX(Baarn!$F$4:$F$38,MATCH($A15,Baarn!$C$4:$C$38,0)),""),IF(IFERROR(INDEX(Scherpenzeel!$F$4:$F$103,MATCH($A15,Scherpenzeel!$C$4:$C$103,0)),"")&lt;&gt;"",IFERROR(INDEX(Scherpenzeel!$F$4:$F$103,MATCH($A15,Scherpenzeel!$C$4:$C$103,0)),""),IF(IFERROR(INDEX('4'!$F$4:$F$103,MATCH($A15,'4'!$C$4:$C$103,0)),"")&lt;&gt;"",IFERROR(INDEX('4'!$F$4:$F$103,MATCH($A15,'4'!$C$4:$C$103,0)),""),IFERROR(INDEX('5'!$F$4:$F$103,MATCH($A15,'5'!$C$4:$C$103,0)),""))))))</f>
        <v>W.V. Eemland</v>
      </c>
      <c r="C15" s="13" t="str">
        <f>IF($A15="","",IF(IFERROR(INDEX(Barneveld!$D$4:$D$36,MATCH($A15,Barneveld!$C$4:$C$36,0)),"")&lt;&gt;"",IFERROR(INDEX(Barneveld!$D$4:$D$36,MATCH($A15,Barneveld!$C$4:$C$36,0)),""),IF(IFERROR(INDEX(Baarn!$E$4:$E$38,MATCH($A15,Baarn!$C$4:$C$38,0)),"")&lt;&gt;"",IFERROR(INDEX(Baarn!$E$4:$E$38,MATCH($A15,Baarn!$C$4:$C$38,0)),""),IF(IFERROR(INDEX(Scherpenzeel!$E$4:$E$103,MATCH($A15,Scherpenzeel!$C$4:$C$103,0)),"")&lt;&gt;"",IFERROR(INDEX(Scherpenzeel!$E$4:$E$103,MATCH($A15,Scherpenzeel!$C$4:$C$103,0)),""),IF(IFERROR(INDEX('4'!$E$4:$E$103,MATCH($A15,'4'!$C$4:$C$103,0)),"")&lt;&gt;"",IFERROR(INDEX('4'!$E$4:$E$103,MATCH($A15,'4'!$C$4:$C$103,0)),""),IFERROR(INDEX('5'!$E$4:$E$103,MATCH($A15,'5'!$C$4:$C$103,0)),""))))))</f>
        <v>Junior (U19)</v>
      </c>
      <c r="D15" s="24" t="str">
        <f>IF($A15="","",IFERROR(INDEX(Barneveld!$A$4:$A$36,MATCH($A15,Barneveld!$C$4:$C$36,0)),""))</f>
        <v/>
      </c>
      <c r="E15" s="15">
        <f>IF($A15="",0,IFERROR(INDEX(Barneveld!$H$4:$H$36,MATCH($A15,Barneveld!$C$4:$C$36,0)),0))</f>
        <v>0</v>
      </c>
      <c r="F15" s="24">
        <f>IF($A15="","",IFERROR(INDEX(Baarn!$A$4:$A$38,MATCH($A15,Baarn!$C$4:$C$38,0)),""))</f>
        <v>1</v>
      </c>
      <c r="G15" s="15">
        <f>IF($A15="",0,IFERROR(INDEX(Baarn!$I$4:$I$38,MATCH($A15,Baarn!$C$4:$C$38,0)),0))</f>
        <v>100.1</v>
      </c>
      <c r="H15" s="24" t="str">
        <f>IF($A15="","",IFERROR(INDEX(Scherpenzeel!$A$4:$A$103,MATCH($A15,Scherpenzeel!$C$4:$C$103,0)),""))</f>
        <v/>
      </c>
      <c r="I15" s="15">
        <f>IF($A15="",0,IFERROR(INDEX(Scherpenzeel!$I$4:$I$103,MATCH($A15,Scherpenzeel!$C$4:$C$103,0)),0))</f>
        <v>0</v>
      </c>
      <c r="J15" s="24" t="str">
        <f>IF($A15="","",IFERROR(INDEX('4'!$A$4:$A$103,MATCH($A15,'4'!$C$4:$C$103,0)),""))</f>
        <v/>
      </c>
      <c r="K15" s="15">
        <f>IF($A15="",0,IFERROR(INDEX('4'!$I$4:$I$103,MATCH($A15,'4'!$C$4:$C$103,0)),0))</f>
        <v>0</v>
      </c>
      <c r="L15" s="24" t="str">
        <f>IF($A15="","",IFERROR(INDEX('5'!$A$4:$A$103,MATCH($A15,'5'!$C$4:$C$103,0)),""))</f>
        <v/>
      </c>
      <c r="M15" s="15">
        <f>IF($A15="",0,IFERROR(INDEX('5'!$I$4:$I$103,MATCH($A15,'5'!$C$4:$C$103,0)),0))</f>
        <v>0</v>
      </c>
      <c r="N15" s="25">
        <f>IF($A15="","",E15+G15+I15+K15+M15)</f>
        <v>100.1</v>
      </c>
      <c r="O15" s="26">
        <f>IF(OR($A15="",N15="",N15=0),"",RANK(N15,$N$4:$N$203,0))</f>
        <v>11</v>
      </c>
      <c r="AA15" t="str">
        <f>Barneveld!C18</f>
        <v>Julian Dingemans</v>
      </c>
      <c r="AB15">
        <f>IF(AA15="",0,IF(COUNTIF($AA$1:AA15,AA15)=1,1,0))</f>
        <v>1</v>
      </c>
      <c r="AC15">
        <f>IF(AB15=1,COUNTIF($AB$1:AB15,1),"")</f>
        <v>15</v>
      </c>
    </row>
    <row r="16" spans="1:29" x14ac:dyDescent="0.25">
      <c r="A16" s="13" t="str">
        <f>IFERROR(INDEX($AA$1:$AA$368,MATCH(47,$AC$1:$AC$368,0)),"")</f>
        <v>Robert de Jong</v>
      </c>
      <c r="B16" s="13" t="str">
        <f>IF($A16="","",IF(IFERROR(INDEX(Barneveld!$E$4:$E$36,MATCH($A16,Barneveld!$C$4:$C$36,0)),"")&lt;&gt;"",IFERROR(INDEX(Barneveld!$E$4:$E$36,MATCH($A16,Barneveld!$C$4:$C$36,0)),""),IF(IFERROR(INDEX(Baarn!$F$4:$F$38,MATCH($A16,Baarn!$C$4:$C$38,0)),"")&lt;&gt;"",IFERROR(INDEX(Baarn!$F$4:$F$38,MATCH($A16,Baarn!$C$4:$C$38,0)),""),IF(IFERROR(INDEX(Scherpenzeel!$F$4:$F$103,MATCH($A16,Scherpenzeel!$C$4:$C$103,0)),"")&lt;&gt;"",IFERROR(INDEX(Scherpenzeel!$F$4:$F$103,MATCH($A16,Scherpenzeel!$C$4:$C$103,0)),""),IF(IFERROR(INDEX('4'!$F$4:$F$103,MATCH($A16,'4'!$C$4:$C$103,0)),"")&lt;&gt;"",IFERROR(INDEX('4'!$F$4:$F$103,MATCH($A16,'4'!$C$4:$C$103,0)),""),IFERROR(INDEX('5'!$F$4:$F$103,MATCH($A16,'5'!$C$4:$C$103,0)),""))))))</f>
        <v>Specialized Project '74</v>
      </c>
      <c r="C16" s="13" t="str">
        <f>IF($A16="","",IF(IFERROR(INDEX(Barneveld!$D$4:$D$36,MATCH($A16,Barneveld!$C$4:$C$36,0)),"")&lt;&gt;"",IFERROR(INDEX(Barneveld!$D$4:$D$36,MATCH($A16,Barneveld!$C$4:$C$36,0)),""),IF(IFERROR(INDEX(Baarn!$E$4:$E$38,MATCH($A16,Baarn!$C$4:$C$38,0)),"")&lt;&gt;"",IFERROR(INDEX(Baarn!$E$4:$E$38,MATCH($A16,Baarn!$C$4:$C$38,0)),""),IF(IFERROR(INDEX(Scherpenzeel!$E$4:$E$103,MATCH($A16,Scherpenzeel!$C$4:$C$103,0)),"")&lt;&gt;"",IFERROR(INDEX(Scherpenzeel!$E$4:$E$103,MATCH($A16,Scherpenzeel!$C$4:$C$103,0)),""),IF(IFERROR(INDEX('4'!$E$4:$E$103,MATCH($A16,'4'!$C$4:$C$103,0)),"")&lt;&gt;"",IFERROR(INDEX('4'!$E$4:$E$103,MATCH($A16,'4'!$C$4:$C$103,0)),""),IFERROR(INDEX('5'!$E$4:$E$103,MATCH($A16,'5'!$C$4:$C$103,0)),""))))))</f>
        <v>KNWU Licentie (Plus)</v>
      </c>
      <c r="D16" s="24" t="str">
        <f>IF($A16="","",IFERROR(INDEX(Barneveld!$A$4:$A$36,MATCH($A16,Barneveld!$C$4:$C$36,0)),""))</f>
        <v/>
      </c>
      <c r="E16" s="15">
        <f>IF($A16="",0,IFERROR(INDEX(Barneveld!$H$4:$H$36,MATCH($A16,Barneveld!$C$4:$C$36,0)),0))</f>
        <v>0</v>
      </c>
      <c r="F16" s="24" t="str">
        <f>IF($A16="","",IFERROR(INDEX(Baarn!$A$4:$A$38,MATCH($A16,Baarn!$C$4:$C$38,0)),""))</f>
        <v/>
      </c>
      <c r="G16" s="15">
        <f>IF($A16="",0,IFERROR(INDEX(Baarn!$I$4:$I$38,MATCH($A16,Baarn!$C$4:$C$38,0)),0))</f>
        <v>0</v>
      </c>
      <c r="H16" s="24">
        <f>IF($A16="","",IFERROR(INDEX(Scherpenzeel!$A$4:$A$103,MATCH($A16,Scherpenzeel!$C$4:$C$103,0)),""))</f>
        <v>1</v>
      </c>
      <c r="I16" s="15">
        <f>IF($A16="",0,IFERROR(INDEX(Scherpenzeel!$I$4:$I$103,MATCH($A16,Scherpenzeel!$C$4:$C$103,0)),0))</f>
        <v>100.1</v>
      </c>
      <c r="J16" s="24" t="str">
        <f>IF($A16="","",IFERROR(INDEX('4'!$A$4:$A$103,MATCH($A16,'4'!$C$4:$C$103,0)),""))</f>
        <v/>
      </c>
      <c r="K16" s="15">
        <f>IF($A16="",0,IFERROR(INDEX('4'!$I$4:$I$103,MATCH($A16,'4'!$C$4:$C$103,0)),0))</f>
        <v>0</v>
      </c>
      <c r="L16" s="24" t="str">
        <f>IF($A16="","",IFERROR(INDEX('5'!$A$4:$A$103,MATCH($A16,'5'!$C$4:$C$103,0)),""))</f>
        <v/>
      </c>
      <c r="M16" s="15">
        <f>IF($A16="",0,IFERROR(INDEX('5'!$I$4:$I$103,MATCH($A16,'5'!$C$4:$C$103,0)),0))</f>
        <v>0</v>
      </c>
      <c r="N16" s="25">
        <f>IF($A16="","",E16+G16+I16+K16+M16)</f>
        <v>100.1</v>
      </c>
      <c r="O16" s="26">
        <f>IF(OR($A16="",N16="",N16=0),"",RANK(N16,$N$4:$N$203,0))</f>
        <v>11</v>
      </c>
      <c r="AA16" t="str">
        <f>Barneveld!C19</f>
        <v>Nout Remeeus</v>
      </c>
      <c r="AB16">
        <f>IF(AA16="",0,IF(COUNTIF($AA$1:AA16,AA16)=1,1,0))</f>
        <v>1</v>
      </c>
      <c r="AC16">
        <f>IF(AB16=1,COUNTIF($AB$1:AB16,1),"")</f>
        <v>16</v>
      </c>
    </row>
    <row r="17" spans="1:29" x14ac:dyDescent="0.25">
      <c r="A17" s="13" t="str">
        <f>IFERROR(INDEX($AA$1:$AA$368,MATCH(9,$AC$1:$AC$368,0)),"")</f>
        <v>Rick Veenhoven</v>
      </c>
      <c r="B17" s="13" t="str">
        <f>IF($A17="","",IF(IFERROR(INDEX(Barneveld!$E$4:$E$36,MATCH($A17,Barneveld!$C$4:$C$36,0)),"")&lt;&gt;"",IFERROR(INDEX(Barneveld!$E$4:$E$36,MATCH($A17,Barneveld!$C$4:$C$36,0)),""),IF(IFERROR(INDEX(Baarn!$F$4:$F$38,MATCH($A17,Baarn!$C$4:$C$38,0)),"")&lt;&gt;"",IFERROR(INDEX(Baarn!$F$4:$F$38,MATCH($A17,Baarn!$C$4:$C$38,0)),""),IF(IFERROR(INDEX(Scherpenzeel!$F$4:$F$103,MATCH($A17,Scherpenzeel!$C$4:$C$103,0)),"")&lt;&gt;"",IFERROR(INDEX(Scherpenzeel!$F$4:$F$103,MATCH($A17,Scherpenzeel!$C$4:$C$103,0)),""),IF(IFERROR(INDEX('4'!$F$4:$F$103,MATCH($A17,'4'!$C$4:$C$103,0)),"")&lt;&gt;"",IFERROR(INDEX('4'!$F$4:$F$103,MATCH($A17,'4'!$C$4:$C$103,0)),""),IFERROR(INDEX('5'!$F$4:$F$103,MATCH($A17,'5'!$C$4:$C$103,0)),""))))))</f>
        <v>ZWC D.T.S.</v>
      </c>
      <c r="C17" s="13" t="str">
        <f>IF($A17="","",IF(IFERROR(INDEX(Barneveld!$D$4:$D$36,MATCH($A17,Barneveld!$C$4:$C$36,0)),"")&lt;&gt;"",IFERROR(INDEX(Barneveld!$D$4:$D$36,MATCH($A17,Barneveld!$C$4:$C$36,0)),""),IF(IFERROR(INDEX(Baarn!$E$4:$E$38,MATCH($A17,Baarn!$C$4:$C$38,0)),"")&lt;&gt;"",IFERROR(INDEX(Baarn!$E$4:$E$38,MATCH($A17,Baarn!$C$4:$C$38,0)),""),IF(IFERROR(INDEX(Scherpenzeel!$E$4:$E$103,MATCH($A17,Scherpenzeel!$C$4:$C$103,0)),"")&lt;&gt;"",IFERROR(INDEX(Scherpenzeel!$E$4:$E$103,MATCH($A17,Scherpenzeel!$C$4:$C$103,0)),""),IF(IFERROR(INDEX('4'!$E$4:$E$103,MATCH($A17,'4'!$C$4:$C$103,0)),"")&lt;&gt;"",IFERROR(INDEX('4'!$E$4:$E$103,MATCH($A17,'4'!$C$4:$C$103,0)),""),IFERROR(INDEX('5'!$E$4:$E$103,MATCH($A17,'5'!$C$4:$C$103,0)),""))))))</f>
        <v>KNWU Licentie (Plus)</v>
      </c>
      <c r="D17" s="24">
        <f>IF($A17="","",IFERROR(INDEX(Barneveld!$A$4:$A$36,MATCH($A17,Barneveld!$C$4:$C$36,0)),""))</f>
        <v>9</v>
      </c>
      <c r="E17" s="15">
        <f>IF($A17="",0,IFERROR(INDEX(Barneveld!$H$4:$H$36,MATCH($A17,Barneveld!$C$4:$C$36,0)),0))</f>
        <v>58</v>
      </c>
      <c r="F17" s="24" t="str">
        <f>IF($A17="","",IFERROR(INDEX(Baarn!$A$4:$A$38,MATCH($A17,Baarn!$C$4:$C$38,0)),""))</f>
        <v>DNF</v>
      </c>
      <c r="G17" s="15">
        <f>IF($A17="",0,IFERROR(INDEX(Baarn!$I$4:$I$38,MATCH($A17,Baarn!$C$4:$C$38,0)),0))</f>
        <v>1</v>
      </c>
      <c r="H17" s="24" t="str">
        <f>IF($A17="","",IFERROR(INDEX(Scherpenzeel!$A$4:$A$103,MATCH($A17,Scherpenzeel!$C$4:$C$103,0)),""))</f>
        <v>14</v>
      </c>
      <c r="I17" s="15">
        <v>41</v>
      </c>
      <c r="J17" s="24" t="str">
        <f>IF($A17="","",IFERROR(INDEX('4'!$A$4:$A$103,MATCH($A17,'4'!$C$4:$C$103,0)),""))</f>
        <v/>
      </c>
      <c r="K17" s="15">
        <f>IF($A17="",0,IFERROR(INDEX('4'!$I$4:$I$103,MATCH($A17,'4'!$C$4:$C$103,0)),0))</f>
        <v>0</v>
      </c>
      <c r="L17" s="24" t="str">
        <f>IF($A17="","",IFERROR(INDEX('5'!$A$4:$A$103,MATCH($A17,'5'!$C$4:$C$103,0)),""))</f>
        <v/>
      </c>
      <c r="M17" s="15">
        <f>IF($A17="",0,IFERROR(INDEX('5'!$I$4:$I$103,MATCH($A17,'5'!$C$4:$C$103,0)),0))</f>
        <v>0</v>
      </c>
      <c r="N17" s="25">
        <f>IF($A17="","",E17+G17+I17+K17+M17)</f>
        <v>100</v>
      </c>
      <c r="O17" s="26">
        <f>IF(OR($A17="",N17="",N17=0),"",RANK(N17,$N$4:$N$203,0))</f>
        <v>14</v>
      </c>
      <c r="AA17" t="str">
        <f>Barneveld!C20</f>
        <v>Peter Res</v>
      </c>
      <c r="AB17">
        <f>IF(AA17="",0,IF(COUNTIF($AA$1:AA17,AA17)=1,1,0))</f>
        <v>1</v>
      </c>
      <c r="AC17">
        <f>IF(AB17=1,COUNTIF($AB$1:AB17,1),"")</f>
        <v>17</v>
      </c>
    </row>
    <row r="18" spans="1:29" x14ac:dyDescent="0.25">
      <c r="A18" s="13" t="str">
        <f>IFERROR(INDEX($AA$1:$AA$368,MATCH(11,$AC$1:$AC$368,0)),"")</f>
        <v>Eddy van IJzendoorn</v>
      </c>
      <c r="B18" s="13" t="str">
        <f>IF($A18="","",IF(IFERROR(INDEX(Barneveld!$E$4:$E$36,MATCH($A18,Barneveld!$C$4:$C$36,0)),"")&lt;&gt;"",IFERROR(INDEX(Barneveld!$E$4:$E$36,MATCH($A18,Barneveld!$C$4:$C$36,0)),""),IF(IFERROR(INDEX(Baarn!$F$4:$F$38,MATCH($A18,Baarn!$C$4:$C$38,0)),"")&lt;&gt;"",IFERROR(INDEX(Baarn!$F$4:$F$38,MATCH($A18,Baarn!$C$4:$C$38,0)),""),IF(IFERROR(INDEX(Scherpenzeel!$F$4:$F$103,MATCH($A18,Scherpenzeel!$C$4:$C$103,0)),"")&lt;&gt;"",IFERROR(INDEX(Scherpenzeel!$F$4:$F$103,MATCH($A18,Scherpenzeel!$C$4:$C$103,0)),""),IF(IFERROR(INDEX('4'!$F$4:$F$103,MATCH($A18,'4'!$C$4:$C$103,0)),"")&lt;&gt;"",IFERROR(INDEX('4'!$F$4:$F$103,MATCH($A18,'4'!$C$4:$C$103,0)),""),IFERROR(INDEX('5'!$F$4:$F$103,MATCH($A18,'5'!$C$4:$C$103,0)),""))))))</f>
        <v>JvR de Batauwers</v>
      </c>
      <c r="C18" s="13" t="str">
        <f>IF($A18="","",IF(IFERROR(INDEX(Barneveld!$D$4:$D$36,MATCH($A18,Barneveld!$C$4:$C$36,0)),"")&lt;&gt;"",IFERROR(INDEX(Barneveld!$D$4:$D$36,MATCH($A18,Barneveld!$C$4:$C$36,0)),""),IF(IFERROR(INDEX(Baarn!$E$4:$E$38,MATCH($A18,Baarn!$C$4:$C$38,0)),"")&lt;&gt;"",IFERROR(INDEX(Baarn!$E$4:$E$38,MATCH($A18,Baarn!$C$4:$C$38,0)),""),IF(IFERROR(INDEX(Scherpenzeel!$E$4:$E$103,MATCH($A18,Scherpenzeel!$C$4:$C$103,0)),"")&lt;&gt;"",IFERROR(INDEX(Scherpenzeel!$E$4:$E$103,MATCH($A18,Scherpenzeel!$C$4:$C$103,0)),""),IF(IFERROR(INDEX('4'!$E$4:$E$103,MATCH($A18,'4'!$C$4:$C$103,0)),"")&lt;&gt;"",IFERROR(INDEX('4'!$E$4:$E$103,MATCH($A18,'4'!$C$4:$C$103,0)),""),IFERROR(INDEX('5'!$E$4:$E$103,MATCH($A18,'5'!$C$4:$C$103,0)),""))))))</f>
        <v>KNWU Licentie (Plus)</v>
      </c>
      <c r="D18" s="24">
        <f>IF($A18="","",IFERROR(INDEX(Barneveld!$A$4:$A$36,MATCH($A18,Barneveld!$C$4:$C$36,0)),""))</f>
        <v>11</v>
      </c>
      <c r="E18" s="15">
        <f>IF($A18="",0,IFERROR(INDEX(Barneveld!$H$4:$H$36,MATCH($A18,Barneveld!$C$4:$C$36,0)),0))</f>
        <v>50</v>
      </c>
      <c r="F18" s="24" t="str">
        <f>IF($A18="","",IFERROR(INDEX(Baarn!$A$4:$A$38,MATCH($A18,Baarn!$C$4:$C$38,0)),""))</f>
        <v/>
      </c>
      <c r="G18" s="15">
        <f>IF($A18="",0,IFERROR(INDEX(Baarn!$I$4:$I$38,MATCH($A18,Baarn!$C$4:$C$38,0)),0))</f>
        <v>0</v>
      </c>
      <c r="H18" s="24" t="str">
        <f>IF($A18="","",IFERROR(INDEX(Scherpenzeel!$A$4:$A$103,MATCH($A18,Scherpenzeel!$C$4:$C$103,0)),""))</f>
        <v>13</v>
      </c>
      <c r="I18" s="15">
        <v>44</v>
      </c>
      <c r="J18" s="24" t="str">
        <f>IF($A18="","",IFERROR(INDEX('4'!$A$4:$A$103,MATCH($A18,'4'!$C$4:$C$103,0)),""))</f>
        <v/>
      </c>
      <c r="K18" s="15">
        <f>IF($A18="",0,IFERROR(INDEX('4'!$I$4:$I$103,MATCH($A18,'4'!$C$4:$C$103,0)),0))</f>
        <v>0</v>
      </c>
      <c r="L18" s="24" t="str">
        <f>IF($A18="","",IFERROR(INDEX('5'!$A$4:$A$103,MATCH($A18,'5'!$C$4:$C$103,0)),""))</f>
        <v/>
      </c>
      <c r="M18" s="15">
        <f>IF($A18="",0,IFERROR(INDEX('5'!$I$4:$I$103,MATCH($A18,'5'!$C$4:$C$103,0)),0))</f>
        <v>0</v>
      </c>
      <c r="N18" s="25">
        <f>IF($A18="","",E18+G18+I18+K18+M18)</f>
        <v>94</v>
      </c>
      <c r="O18" s="26">
        <f>IF(OR($A18="",N18="",N18=0),"",RANK(N18,$N$4:$N$203,0))</f>
        <v>15</v>
      </c>
      <c r="AA18" t="str">
        <f>Barneveld!C21</f>
        <v>Yoep van der Peet</v>
      </c>
      <c r="AB18">
        <f>IF(AA18="",0,IF(COUNTIF($AA$1:AA18,AA18)=1,1,0))</f>
        <v>1</v>
      </c>
      <c r="AC18">
        <f>IF(AB18=1,COUNTIF($AB$1:AB18,1),"")</f>
        <v>18</v>
      </c>
    </row>
    <row r="19" spans="1:29" x14ac:dyDescent="0.25">
      <c r="A19" s="13" t="str">
        <f>IFERROR(INDEX($AA$1:$AA$368,MATCH(14,$AC$1:$AC$368,0)),"")</f>
        <v>Ties Veldkamp</v>
      </c>
      <c r="B19" s="13" t="str">
        <f>IF($A19="","",IF(IFERROR(INDEX(Barneveld!$E$4:$E$36,MATCH($A19,Barneveld!$C$4:$C$36,0)),"")&lt;&gt;"",IFERROR(INDEX(Barneveld!$E$4:$E$36,MATCH($A19,Barneveld!$C$4:$C$36,0)),""),IF(IFERROR(INDEX(Baarn!$F$4:$F$38,MATCH($A19,Baarn!$C$4:$C$38,0)),"")&lt;&gt;"",IFERROR(INDEX(Baarn!$F$4:$F$38,MATCH($A19,Baarn!$C$4:$C$38,0)),""),IF(IFERROR(INDEX(Scherpenzeel!$F$4:$F$103,MATCH($A19,Scherpenzeel!$C$4:$C$103,0)),"")&lt;&gt;"",IFERROR(INDEX(Scherpenzeel!$F$4:$F$103,MATCH($A19,Scherpenzeel!$C$4:$C$103,0)),""),IF(IFERROR(INDEX('4'!$F$4:$F$103,MATCH($A19,'4'!$C$4:$C$103,0)),"")&lt;&gt;"",IFERROR(INDEX('4'!$F$4:$F$103,MATCH($A19,'4'!$C$4:$C$103,0)),""),IFERROR(INDEX('5'!$F$4:$F$103,MATCH($A19,'5'!$C$4:$C$103,0)),""))))))</f>
        <v>WTC Woerden</v>
      </c>
      <c r="C19" s="13" t="str">
        <f>IF($A19="","",IF(IFERROR(INDEX(Barneveld!$D$4:$D$36,MATCH($A19,Barneveld!$C$4:$C$36,0)),"")&lt;&gt;"",IFERROR(INDEX(Barneveld!$D$4:$D$36,MATCH($A19,Barneveld!$C$4:$C$36,0)),""),IF(IFERROR(INDEX(Baarn!$E$4:$E$38,MATCH($A19,Baarn!$C$4:$C$38,0)),"")&lt;&gt;"",IFERROR(INDEX(Baarn!$E$4:$E$38,MATCH($A19,Baarn!$C$4:$C$38,0)),""),IF(IFERROR(INDEX(Scherpenzeel!$E$4:$E$103,MATCH($A19,Scherpenzeel!$C$4:$C$103,0)),"")&lt;&gt;"",IFERROR(INDEX(Scherpenzeel!$E$4:$E$103,MATCH($A19,Scherpenzeel!$C$4:$C$103,0)),""),IF(IFERROR(INDEX('4'!$E$4:$E$103,MATCH($A19,'4'!$C$4:$C$103,0)),"")&lt;&gt;"",IFERROR(INDEX('4'!$E$4:$E$103,MATCH($A19,'4'!$C$4:$C$103,0)),""),IFERROR(INDEX('5'!$E$4:$E$103,MATCH($A19,'5'!$C$4:$C$103,0)),""))))))</f>
        <v>KNWU Licentie (Plus)</v>
      </c>
      <c r="D19" s="24">
        <f>IF($A19="","",IFERROR(INDEX(Barneveld!$A$4:$A$36,MATCH($A19,Barneveld!$C$4:$C$36,0)),""))</f>
        <v>14</v>
      </c>
      <c r="E19" s="15">
        <f>IF($A19="",0,IFERROR(INDEX(Barneveld!$H$4:$H$36,MATCH($A19,Barneveld!$C$4:$C$36,0)),0))</f>
        <v>41</v>
      </c>
      <c r="F19" s="24" t="str">
        <f>IF($A19="","",IFERROR(INDEX(Baarn!$A$4:$A$38,MATCH($A19,Baarn!$C$4:$C$38,0)),""))</f>
        <v/>
      </c>
      <c r="G19" s="15">
        <f>IF($A19="",0,IFERROR(INDEX(Baarn!$I$4:$I$38,MATCH($A19,Baarn!$C$4:$C$38,0)),0))</f>
        <v>0</v>
      </c>
      <c r="H19" s="24" t="str">
        <f>IF($A19="","",IFERROR(INDEX(Scherpenzeel!$A$4:$A$103,MATCH($A19,Scherpenzeel!$C$4:$C$103,0)),""))</f>
        <v>11</v>
      </c>
      <c r="I19" s="15">
        <v>50</v>
      </c>
      <c r="J19" s="24" t="str">
        <f>IF($A19="","",IFERROR(INDEX('4'!$A$4:$A$103,MATCH($A19,'4'!$C$4:$C$103,0)),""))</f>
        <v/>
      </c>
      <c r="K19" s="15">
        <f>IF($A19="",0,IFERROR(INDEX('4'!$I$4:$I$103,MATCH($A19,'4'!$C$4:$C$103,0)),0))</f>
        <v>0</v>
      </c>
      <c r="L19" s="24" t="str">
        <f>IF($A19="","",IFERROR(INDEX('5'!$A$4:$A$103,MATCH($A19,'5'!$C$4:$C$103,0)),""))</f>
        <v/>
      </c>
      <c r="M19" s="15">
        <f>IF($A19="",0,IFERROR(INDEX('5'!$I$4:$I$103,MATCH($A19,'5'!$C$4:$C$103,0)),0))</f>
        <v>0</v>
      </c>
      <c r="N19" s="25">
        <f>IF($A19="","",E19+G19+I19+K19+M19)</f>
        <v>91</v>
      </c>
      <c r="O19" s="26">
        <f>IF(OR($A19="",N19="",N19=0),"",RANK(N19,$N$4:$N$203,0))</f>
        <v>16</v>
      </c>
      <c r="AA19" t="str">
        <f>Barneveld!C22</f>
        <v>Melvin Drost</v>
      </c>
      <c r="AB19">
        <f>IF(AA19="",0,IF(COUNTIF($AA$1:AA19,AA19)=1,1,0))</f>
        <v>1</v>
      </c>
      <c r="AC19">
        <f>IF(AB19=1,COUNTIF($AB$1:AB19,1),"")</f>
        <v>19</v>
      </c>
    </row>
    <row r="20" spans="1:29" x14ac:dyDescent="0.25">
      <c r="A20" s="13" t="str">
        <f>IFERROR(INDEX($AA$1:$AA$368,MATCH(34,$AC$1:$AC$368,0)),"")</f>
        <v>Niek Bos</v>
      </c>
      <c r="B20" s="13" t="str">
        <f>IF($A20="","",IF(IFERROR(INDEX(Barneveld!$E$4:$E$36,MATCH($A20,Barneveld!$C$4:$C$36,0)),"")&lt;&gt;"",IFERROR(INDEX(Barneveld!$E$4:$E$36,MATCH($A20,Barneveld!$C$4:$C$36,0)),""),IF(IFERROR(INDEX(Baarn!$F$4:$F$38,MATCH($A20,Baarn!$C$4:$C$38,0)),"")&lt;&gt;"",IFERROR(INDEX(Baarn!$F$4:$F$38,MATCH($A20,Baarn!$C$4:$C$38,0)),""),IF(IFERROR(INDEX(Scherpenzeel!$F$4:$F$103,MATCH($A20,Scherpenzeel!$C$4:$C$103,0)),"")&lt;&gt;"",IFERROR(INDEX(Scherpenzeel!$F$4:$F$103,MATCH($A20,Scherpenzeel!$C$4:$C$103,0)),""),IF(IFERROR(INDEX('4'!$F$4:$F$103,MATCH($A20,'4'!$C$4:$C$103,0)),"")&lt;&gt;"",IFERROR(INDEX('4'!$F$4:$F$103,MATCH($A20,'4'!$C$4:$C$103,0)),""),IFERROR(INDEX('5'!$F$4:$F$103,MATCH($A20,'5'!$C$4:$C$103,0)),""))))))</f>
        <v>W.V. Eemland</v>
      </c>
      <c r="C20" s="13" t="str">
        <f>IF($A20="","",IF(IFERROR(INDEX(Barneveld!$D$4:$D$36,MATCH($A20,Barneveld!$C$4:$C$36,0)),"")&lt;&gt;"",IFERROR(INDEX(Barneveld!$D$4:$D$36,MATCH($A20,Barneveld!$C$4:$C$36,0)),""),IF(IFERROR(INDEX(Baarn!$E$4:$E$38,MATCH($A20,Baarn!$C$4:$C$38,0)),"")&lt;&gt;"",IFERROR(INDEX(Baarn!$E$4:$E$38,MATCH($A20,Baarn!$C$4:$C$38,0)),""),IF(IFERROR(INDEX(Scherpenzeel!$E$4:$E$103,MATCH($A20,Scherpenzeel!$C$4:$C$103,0)),"")&lt;&gt;"",IFERROR(INDEX(Scherpenzeel!$E$4:$E$103,MATCH($A20,Scherpenzeel!$C$4:$C$103,0)),""),IF(IFERROR(INDEX('4'!$E$4:$E$103,MATCH($A20,'4'!$C$4:$C$103,0)),"")&lt;&gt;"",IFERROR(INDEX('4'!$E$4:$E$103,MATCH($A20,'4'!$C$4:$C$103,0)),""),IFERROR(INDEX('5'!$E$4:$E$103,MATCH($A20,'5'!$C$4:$C$103,0)),""))))))</f>
        <v>Junior (U19)</v>
      </c>
      <c r="D20" s="24" t="str">
        <f>IF($A20="","",IFERROR(INDEX(Barneveld!$A$4:$A$36,MATCH($A20,Barneveld!$C$4:$C$36,0)),""))</f>
        <v/>
      </c>
      <c r="E20" s="15">
        <f>IF($A20="",0,IFERROR(INDEX(Barneveld!$H$4:$H$36,MATCH($A20,Barneveld!$C$4:$C$36,0)),0))</f>
        <v>0</v>
      </c>
      <c r="F20" s="24">
        <f>IF($A20="","",IFERROR(INDEX(Baarn!$A$4:$A$38,MATCH($A20,Baarn!$C$4:$C$38,0)),""))</f>
        <v>2</v>
      </c>
      <c r="G20" s="15">
        <f>IF($A20="",0,IFERROR(INDEX(Baarn!$I$4:$I$38,MATCH($A20,Baarn!$C$4:$C$38,0)),0))</f>
        <v>90</v>
      </c>
      <c r="H20" s="24" t="str">
        <f>IF($A20="","",IFERROR(INDEX(Scherpenzeel!$A$4:$A$103,MATCH($A20,Scherpenzeel!$C$4:$C$103,0)),""))</f>
        <v/>
      </c>
      <c r="I20" s="15">
        <f>IF($A20="",0,IFERROR(INDEX(Scherpenzeel!$I$4:$I$103,MATCH($A20,Scherpenzeel!$C$4:$C$103,0)),0))</f>
        <v>0</v>
      </c>
      <c r="J20" s="24" t="str">
        <f>IF($A20="","",IFERROR(INDEX('4'!$A$4:$A$103,MATCH($A20,'4'!$C$4:$C$103,0)),""))</f>
        <v/>
      </c>
      <c r="K20" s="15">
        <f>IF($A20="",0,IFERROR(INDEX('4'!$I$4:$I$103,MATCH($A20,'4'!$C$4:$C$103,0)),0))</f>
        <v>0</v>
      </c>
      <c r="L20" s="24" t="str">
        <f>IF($A20="","",IFERROR(INDEX('5'!$A$4:$A$103,MATCH($A20,'5'!$C$4:$C$103,0)),""))</f>
        <v/>
      </c>
      <c r="M20" s="15">
        <f>IF($A20="",0,IFERROR(INDEX('5'!$I$4:$I$103,MATCH($A20,'5'!$C$4:$C$103,0)),0))</f>
        <v>0</v>
      </c>
      <c r="N20" s="25">
        <f>IF($A20="","",E20+G20+I20+K20+M20)</f>
        <v>90</v>
      </c>
      <c r="O20" s="26">
        <f>IF(OR($A20="",N20="",N20=0),"",RANK(N20,$N$4:$N$203,0))</f>
        <v>17</v>
      </c>
      <c r="AA20" t="str">
        <f>Barneveld!C23</f>
        <v>Melle Nikkels</v>
      </c>
      <c r="AB20">
        <f>IF(AA20="",0,IF(COUNTIF($AA$1:AA20,AA20)=1,1,0))</f>
        <v>1</v>
      </c>
      <c r="AC20">
        <f>IF(AB20=1,COUNTIF($AB$1:AB20,1),"")</f>
        <v>20</v>
      </c>
    </row>
    <row r="21" spans="1:29" x14ac:dyDescent="0.25">
      <c r="A21" s="13" t="str">
        <f>IFERROR(INDEX($AA$1:$AA$368,MATCH(48,$AC$1:$AC$368,0)),"")</f>
        <v>Lennart Nelisse</v>
      </c>
      <c r="B21" s="13" t="str">
        <f>IF($A21="","",IF(IFERROR(INDEX(Barneveld!$E$4:$E$36,MATCH($A21,Barneveld!$C$4:$C$36,0)),"")&lt;&gt;"",IFERROR(INDEX(Barneveld!$E$4:$E$36,MATCH($A21,Barneveld!$C$4:$C$36,0)),""),IF(IFERROR(INDEX(Baarn!$F$4:$F$38,MATCH($A21,Baarn!$C$4:$C$38,0)),"")&lt;&gt;"",IFERROR(INDEX(Baarn!$F$4:$F$38,MATCH($A21,Baarn!$C$4:$C$38,0)),""),IF(IFERROR(INDEX(Scherpenzeel!$F$4:$F$103,MATCH($A21,Scherpenzeel!$C$4:$C$103,0)),"")&lt;&gt;"",IFERROR(INDEX(Scherpenzeel!$F$4:$F$103,MATCH($A21,Scherpenzeel!$C$4:$C$103,0)),""),IF(IFERROR(INDEX('4'!$F$4:$F$103,MATCH($A21,'4'!$C$4:$C$103,0)),"")&lt;&gt;"",IFERROR(INDEX('4'!$F$4:$F$103,MATCH($A21,'4'!$C$4:$C$103,0)),""),IFERROR(INDEX('5'!$F$4:$F$103,MATCH($A21,'5'!$C$4:$C$103,0)),""))))))</f>
        <v>Westland Wil Vooruit</v>
      </c>
      <c r="C21" s="13" t="str">
        <f>IF($A21="","",IF(IFERROR(INDEX(Barneveld!$D$4:$D$36,MATCH($A21,Barneveld!$C$4:$C$36,0)),"")&lt;&gt;"",IFERROR(INDEX(Barneveld!$D$4:$D$36,MATCH($A21,Barneveld!$C$4:$C$36,0)),""),IF(IFERROR(INDEX(Baarn!$E$4:$E$38,MATCH($A21,Baarn!$C$4:$C$38,0)),"")&lt;&gt;"",IFERROR(INDEX(Baarn!$E$4:$E$38,MATCH($A21,Baarn!$C$4:$C$38,0)),""),IF(IFERROR(INDEX(Scherpenzeel!$E$4:$E$103,MATCH($A21,Scherpenzeel!$C$4:$C$103,0)),"")&lt;&gt;"",IFERROR(INDEX(Scherpenzeel!$E$4:$E$103,MATCH($A21,Scherpenzeel!$C$4:$C$103,0)),""),IF(IFERROR(INDEX('4'!$E$4:$E$103,MATCH($A21,'4'!$C$4:$C$103,0)),"")&lt;&gt;"",IFERROR(INDEX('4'!$E$4:$E$103,MATCH($A21,'4'!$C$4:$C$103,0)),""),IFERROR(INDEX('5'!$E$4:$E$103,MATCH($A21,'5'!$C$4:$C$103,0)),""))))))</f>
        <v>Junior (U19)</v>
      </c>
      <c r="D21" s="24" t="str">
        <f>IF($A21="","",IFERROR(INDEX(Barneveld!$A$4:$A$36,MATCH($A21,Barneveld!$C$4:$C$36,0)),""))</f>
        <v/>
      </c>
      <c r="E21" s="15">
        <f>IF($A21="",0,IFERROR(INDEX(Barneveld!$H$4:$H$36,MATCH($A21,Barneveld!$C$4:$C$36,0)),0))</f>
        <v>0</v>
      </c>
      <c r="F21" s="24" t="str">
        <f>IF($A21="","",IFERROR(INDEX(Baarn!$A$4:$A$38,MATCH($A21,Baarn!$C$4:$C$38,0)),""))</f>
        <v/>
      </c>
      <c r="G21" s="15">
        <f>IF($A21="",0,IFERROR(INDEX(Baarn!$I$4:$I$38,MATCH($A21,Baarn!$C$4:$C$38,0)),0))</f>
        <v>0</v>
      </c>
      <c r="H21" s="24">
        <f>IF($A21="","",IFERROR(INDEX(Scherpenzeel!$A$4:$A$103,MATCH($A21,Scherpenzeel!$C$4:$C$103,0)),""))</f>
        <v>2</v>
      </c>
      <c r="I21" s="15">
        <f>IF($A21="",0,IFERROR(INDEX(Scherpenzeel!$I$4:$I$103,MATCH($A21,Scherpenzeel!$C$4:$C$103,0)),0))</f>
        <v>90</v>
      </c>
      <c r="J21" s="24" t="str">
        <f>IF($A21="","",IFERROR(INDEX('4'!$A$4:$A$103,MATCH($A21,'4'!$C$4:$C$103,0)),""))</f>
        <v/>
      </c>
      <c r="K21" s="15">
        <f>IF($A21="",0,IFERROR(INDEX('4'!$I$4:$I$103,MATCH($A21,'4'!$C$4:$C$103,0)),0))</f>
        <v>0</v>
      </c>
      <c r="L21" s="24" t="str">
        <f>IF($A21="","",IFERROR(INDEX('5'!$A$4:$A$103,MATCH($A21,'5'!$C$4:$C$103,0)),""))</f>
        <v/>
      </c>
      <c r="M21" s="15">
        <f>IF($A21="",0,IFERROR(INDEX('5'!$I$4:$I$103,MATCH($A21,'5'!$C$4:$C$103,0)),0))</f>
        <v>0</v>
      </c>
      <c r="N21" s="25">
        <f>IF($A21="","",E21+G21+I21+K21+M21)</f>
        <v>90</v>
      </c>
      <c r="O21" s="26">
        <f>IF(OR($A21="",N21="",N21=0),"",RANK(N21,$N$4:$N$203,0))</f>
        <v>17</v>
      </c>
      <c r="AA21" t="str">
        <f>Barneveld!C24</f>
        <v>Alexander Harper</v>
      </c>
      <c r="AB21">
        <f>IF(AA21="",0,IF(COUNTIF($AA$1:AA21,AA21)=1,1,0))</f>
        <v>1</v>
      </c>
      <c r="AC21">
        <f>IF(AB21=1,COUNTIF($AB$1:AB21,1),"")</f>
        <v>21</v>
      </c>
    </row>
    <row r="22" spans="1:29" x14ac:dyDescent="0.25">
      <c r="A22" s="13" t="str">
        <f>IFERROR(INDEX($AA$1:$AA$368,MATCH(3,$AC$1:$AC$368,0)),"")</f>
        <v>Erwin van Leijen</v>
      </c>
      <c r="B22" s="13" t="str">
        <f>IF($A22="","",IF(IFERROR(INDEX(Barneveld!$E$4:$E$36,MATCH($A22,Barneveld!$C$4:$C$36,0)),"")&lt;&gt;"",IFERROR(INDEX(Barneveld!$E$4:$E$36,MATCH($A22,Barneveld!$C$4:$C$36,0)),""),IF(IFERROR(INDEX(Baarn!$F$4:$F$38,MATCH($A22,Baarn!$C$4:$C$38,0)),"")&lt;&gt;"",IFERROR(INDEX(Baarn!$F$4:$F$38,MATCH($A22,Baarn!$C$4:$C$38,0)),""),IF(IFERROR(INDEX(Scherpenzeel!$F$4:$F$103,MATCH($A22,Scherpenzeel!$C$4:$C$103,0)),"")&lt;&gt;"",IFERROR(INDEX(Scherpenzeel!$F$4:$F$103,MATCH($A22,Scherpenzeel!$C$4:$C$103,0)),""),IF(IFERROR(INDEX('4'!$F$4:$F$103,MATCH($A22,'4'!$C$4:$C$103,0)),"")&lt;&gt;"",IFERROR(INDEX('4'!$F$4:$F$103,MATCH($A22,'4'!$C$4:$C$103,0)),""),IFERROR(INDEX('5'!$F$4:$F$103,MATCH($A22,'5'!$C$4:$C$103,0)),""))))))</f>
        <v>BEAT Cycling Club</v>
      </c>
      <c r="C22" s="13" t="str">
        <f>IF($A22="","",IF(IFERROR(INDEX(Barneveld!$D$4:$D$36,MATCH($A22,Barneveld!$C$4:$C$36,0)),"")&lt;&gt;"",IFERROR(INDEX(Barneveld!$D$4:$D$36,MATCH($A22,Barneveld!$C$4:$C$36,0)),""),IF(IFERROR(INDEX(Baarn!$E$4:$E$38,MATCH($A22,Baarn!$C$4:$C$38,0)),"")&lt;&gt;"",IFERROR(INDEX(Baarn!$E$4:$E$38,MATCH($A22,Baarn!$C$4:$C$38,0)),""),IF(IFERROR(INDEX(Scherpenzeel!$E$4:$E$103,MATCH($A22,Scherpenzeel!$C$4:$C$103,0)),"")&lt;&gt;"",IFERROR(INDEX(Scherpenzeel!$E$4:$E$103,MATCH($A22,Scherpenzeel!$C$4:$C$103,0)),""),IF(IFERROR(INDEX('4'!$E$4:$E$103,MATCH($A22,'4'!$C$4:$C$103,0)),"")&lt;&gt;"",IFERROR(INDEX('4'!$E$4:$E$103,MATCH($A22,'4'!$C$4:$C$103,0)),""),IFERROR(INDEX('5'!$E$4:$E$103,MATCH($A22,'5'!$C$4:$C$103,0)),""))))))</f>
        <v>KNWU Licentie (Plus)</v>
      </c>
      <c r="D22" s="24">
        <f>IF($A22="","",IFERROR(INDEX(Barneveld!$A$4:$A$36,MATCH($A22,Barneveld!$C$4:$C$36,0)),""))</f>
        <v>3</v>
      </c>
      <c r="E22" s="15">
        <f>IF($A22="",0,IFERROR(INDEX(Barneveld!$H$4:$H$36,MATCH($A22,Barneveld!$C$4:$C$36,0)),0))</f>
        <v>85</v>
      </c>
      <c r="F22" s="24" t="str">
        <f>IF($A22="","",IFERROR(INDEX(Baarn!$A$4:$A$38,MATCH($A22,Baarn!$C$4:$C$38,0)),""))</f>
        <v>DNF</v>
      </c>
      <c r="G22" s="15">
        <f>IF($A22="",0,IFERROR(INDEX(Baarn!$I$4:$I$38,MATCH($A22,Baarn!$C$4:$C$38,0)),0))</f>
        <v>1</v>
      </c>
      <c r="H22" s="24" t="str">
        <f>IF($A22="","",IFERROR(INDEX(Scherpenzeel!$A$4:$A$103,MATCH($A22,Scherpenzeel!$C$4:$C$103,0)),""))</f>
        <v>DNF</v>
      </c>
      <c r="I22" s="15">
        <f>IF($A22="",0,IFERROR(INDEX(Scherpenzeel!$I$4:$I$103,MATCH($A22,Scherpenzeel!$C$4:$C$103,0)),0))</f>
        <v>1</v>
      </c>
      <c r="J22" s="24" t="str">
        <f>IF($A22="","",IFERROR(INDEX('4'!$A$4:$A$103,MATCH($A22,'4'!$C$4:$C$103,0)),""))</f>
        <v/>
      </c>
      <c r="K22" s="15">
        <f>IF($A22="",0,IFERROR(INDEX('4'!$I$4:$I$103,MATCH($A22,'4'!$C$4:$C$103,0)),0))</f>
        <v>0</v>
      </c>
      <c r="L22" s="24" t="str">
        <f>IF($A22="","",IFERROR(INDEX('5'!$A$4:$A$103,MATCH($A22,'5'!$C$4:$C$103,0)),""))</f>
        <v/>
      </c>
      <c r="M22" s="15">
        <f>IF($A22="",0,IFERROR(INDEX('5'!$I$4:$I$103,MATCH($A22,'5'!$C$4:$C$103,0)),0))</f>
        <v>0</v>
      </c>
      <c r="N22" s="25">
        <f>IF($A22="","",E22+G22+I22+K22+M22)</f>
        <v>87</v>
      </c>
      <c r="O22" s="26">
        <f>IF(OR($A22="",N22="",N22=0),"",RANK(N22,$N$4:$N$203,0))</f>
        <v>19</v>
      </c>
      <c r="AA22" t="str">
        <f>Barneveld!C25</f>
        <v>Bart Veldhuizen</v>
      </c>
      <c r="AB22">
        <f>IF(AA22="",0,IF(COUNTIF($AA$1:AA22,AA22)=1,1,0))</f>
        <v>1</v>
      </c>
      <c r="AC22">
        <f>IF(AB22=1,COUNTIF($AB$1:AB22,1),"")</f>
        <v>22</v>
      </c>
    </row>
    <row r="23" spans="1:29" x14ac:dyDescent="0.25">
      <c r="A23" s="13" t="str">
        <f>IFERROR(INDEX($AA$1:$AA$368,MATCH(49,$AC$1:$AC$368,0)),"")</f>
        <v>Koen Vinke</v>
      </c>
      <c r="B23" s="13" t="str">
        <f>IF($A23="","",IF(IFERROR(INDEX(Barneveld!$E$4:$E$36,MATCH($A23,Barneveld!$C$4:$C$36,0)),"")&lt;&gt;"",IFERROR(INDEX(Barneveld!$E$4:$E$36,MATCH($A23,Barneveld!$C$4:$C$36,0)),""),IF(IFERROR(INDEX(Baarn!$F$4:$F$38,MATCH($A23,Baarn!$C$4:$C$38,0)),"")&lt;&gt;"",IFERROR(INDEX(Baarn!$F$4:$F$38,MATCH($A23,Baarn!$C$4:$C$38,0)),""),IF(IFERROR(INDEX(Scherpenzeel!$F$4:$F$103,MATCH($A23,Scherpenzeel!$C$4:$C$103,0)),"")&lt;&gt;"",IFERROR(INDEX(Scherpenzeel!$F$4:$F$103,MATCH($A23,Scherpenzeel!$C$4:$C$103,0)),""),IF(IFERROR(INDEX('4'!$F$4:$F$103,MATCH($A23,'4'!$C$4:$C$103,0)),"")&lt;&gt;"",IFERROR(INDEX('4'!$F$4:$F$103,MATCH($A23,'4'!$C$4:$C$103,0)),""),IFERROR(INDEX('5'!$F$4:$F$103,MATCH($A23,'5'!$C$4:$C$103,0)),""))))))</f>
        <v>DWV Klein Verzet</v>
      </c>
      <c r="C23" s="13" t="str">
        <f>IF($A23="","",IF(IFERROR(INDEX(Barneveld!$D$4:$D$36,MATCH($A23,Barneveld!$C$4:$C$36,0)),"")&lt;&gt;"",IFERROR(INDEX(Barneveld!$D$4:$D$36,MATCH($A23,Barneveld!$C$4:$C$36,0)),""),IF(IFERROR(INDEX(Baarn!$E$4:$E$38,MATCH($A23,Baarn!$C$4:$C$38,0)),"")&lt;&gt;"",IFERROR(INDEX(Baarn!$E$4:$E$38,MATCH($A23,Baarn!$C$4:$C$38,0)),""),IF(IFERROR(INDEX(Scherpenzeel!$E$4:$E$103,MATCH($A23,Scherpenzeel!$C$4:$C$103,0)),"")&lt;&gt;"",IFERROR(INDEX(Scherpenzeel!$E$4:$E$103,MATCH($A23,Scherpenzeel!$C$4:$C$103,0)),""),IF(IFERROR(INDEX('4'!$E$4:$E$103,MATCH($A23,'4'!$C$4:$C$103,0)),"")&lt;&gt;"",IFERROR(INDEX('4'!$E$4:$E$103,MATCH($A23,'4'!$C$4:$C$103,0)),""),IFERROR(INDEX('5'!$E$4:$E$103,MATCH($A23,'5'!$C$4:$C$103,0)),""))))))</f>
        <v>KNWU Licentie (Plus)</v>
      </c>
      <c r="D23" s="24" t="str">
        <f>IF($A23="","",IFERROR(INDEX(Barneveld!$A$4:$A$36,MATCH($A23,Barneveld!$C$4:$C$36,0)),""))</f>
        <v/>
      </c>
      <c r="E23" s="15">
        <f>IF($A23="",0,IFERROR(INDEX(Barneveld!$H$4:$H$36,MATCH($A23,Barneveld!$C$4:$C$36,0)),0))</f>
        <v>0</v>
      </c>
      <c r="F23" s="24" t="str">
        <f>IF($A23="","",IFERROR(INDEX(Baarn!$A$4:$A$38,MATCH($A23,Baarn!$C$4:$C$38,0)),""))</f>
        <v/>
      </c>
      <c r="G23" s="15">
        <f>IF($A23="",0,IFERROR(INDEX(Baarn!$I$4:$I$38,MATCH($A23,Baarn!$C$4:$C$38,0)),0))</f>
        <v>0</v>
      </c>
      <c r="H23" s="24">
        <f>IF($A23="","",IFERROR(INDEX(Scherpenzeel!$A$4:$A$103,MATCH($A23,Scherpenzeel!$C$4:$C$103,0)),""))</f>
        <v>4</v>
      </c>
      <c r="I23" s="15">
        <f>IF($A23="",0,IFERROR(INDEX(Scherpenzeel!$I$4:$I$103,MATCH($A23,Scherpenzeel!$C$4:$C$103,0)),0))</f>
        <v>80</v>
      </c>
      <c r="J23" s="24" t="str">
        <f>IF($A23="","",IFERROR(INDEX('4'!$A$4:$A$103,MATCH($A23,'4'!$C$4:$C$103,0)),""))</f>
        <v/>
      </c>
      <c r="K23" s="15">
        <f>IF($A23="",0,IFERROR(INDEX('4'!$I$4:$I$103,MATCH($A23,'4'!$C$4:$C$103,0)),0))</f>
        <v>0</v>
      </c>
      <c r="L23" s="24" t="str">
        <f>IF($A23="","",IFERROR(INDEX('5'!$A$4:$A$103,MATCH($A23,'5'!$C$4:$C$103,0)),""))</f>
        <v/>
      </c>
      <c r="M23" s="15">
        <f>IF($A23="",0,IFERROR(INDEX('5'!$I$4:$I$103,MATCH($A23,'5'!$C$4:$C$103,0)),0))</f>
        <v>0</v>
      </c>
      <c r="N23" s="25">
        <f>IF($A23="","",E23+G23+I23+K23+M23)</f>
        <v>80</v>
      </c>
      <c r="O23" s="26">
        <f>IF(OR($A23="",N23="",N23=0),"",RANK(N23,$N$4:$N$203,0))</f>
        <v>20</v>
      </c>
      <c r="AA23" t="str">
        <f>Barneveld!C26</f>
        <v>Martijn Veling</v>
      </c>
      <c r="AB23">
        <f>IF(AA23="",0,IF(COUNTIF($AA$1:AA23,AA23)=1,1,0))</f>
        <v>1</v>
      </c>
      <c r="AC23">
        <f>IF(AB23=1,COUNTIF($AB$1:AB23,1),"")</f>
        <v>23</v>
      </c>
    </row>
    <row r="24" spans="1:29" x14ac:dyDescent="0.25">
      <c r="A24" s="13" t="str">
        <f>IFERROR(INDEX($AA$1:$AA$368,MATCH(39,$AC$1:$AC$368,0)),"")</f>
        <v>Olaf Oussoren</v>
      </c>
      <c r="B24" s="13" t="str">
        <f>IF($A24="","",IF(IFERROR(INDEX(Barneveld!$E$4:$E$36,MATCH($A24,Barneveld!$C$4:$C$36,0)),"")&lt;&gt;"",IFERROR(INDEX(Barneveld!$E$4:$E$36,MATCH($A24,Barneveld!$C$4:$C$36,0)),""),IF(IFERROR(INDEX(Baarn!$F$4:$F$38,MATCH($A24,Baarn!$C$4:$C$38,0)),"")&lt;&gt;"",IFERROR(INDEX(Baarn!$F$4:$F$38,MATCH($A24,Baarn!$C$4:$C$38,0)),""),IF(IFERROR(INDEX(Scherpenzeel!$F$4:$F$103,MATCH($A24,Scherpenzeel!$C$4:$C$103,0)),"")&lt;&gt;"",IFERROR(INDEX(Scherpenzeel!$F$4:$F$103,MATCH($A24,Scherpenzeel!$C$4:$C$103,0)),""),IF(IFERROR(INDEX('4'!$F$4:$F$103,MATCH($A24,'4'!$C$4:$C$103,0)),"")&lt;&gt;"",IFERROR(INDEX('4'!$F$4:$F$103,MATCH($A24,'4'!$C$4:$C$103,0)),""),IFERROR(INDEX('5'!$F$4:$F$103,MATCH($A24,'5'!$C$4:$C$103,0)),""))))))</f>
        <v>WV de Valleirenners AXA</v>
      </c>
      <c r="C24" s="13" t="str">
        <f>IF($A24="","",IF(IFERROR(INDEX(Barneveld!$D$4:$D$36,MATCH($A24,Barneveld!$C$4:$C$36,0)),"")&lt;&gt;"",IFERROR(INDEX(Barneveld!$D$4:$D$36,MATCH($A24,Barneveld!$C$4:$C$36,0)),""),IF(IFERROR(INDEX(Baarn!$E$4:$E$38,MATCH($A24,Baarn!$C$4:$C$38,0)),"")&lt;&gt;"",IFERROR(INDEX(Baarn!$E$4:$E$38,MATCH($A24,Baarn!$C$4:$C$38,0)),""),IF(IFERROR(INDEX(Scherpenzeel!$E$4:$E$103,MATCH($A24,Scherpenzeel!$C$4:$C$103,0)),"")&lt;&gt;"",IFERROR(INDEX(Scherpenzeel!$E$4:$E$103,MATCH($A24,Scherpenzeel!$C$4:$C$103,0)),""),IF(IFERROR(INDEX('4'!$E$4:$E$103,MATCH($A24,'4'!$C$4:$C$103,0)),"")&lt;&gt;"",IFERROR(INDEX('4'!$E$4:$E$103,MATCH($A24,'4'!$C$4:$C$103,0)),""),IFERROR(INDEX('5'!$E$4:$E$103,MATCH($A24,'5'!$C$4:$C$103,0)),""))))))</f>
        <v>KNWU Licentie (Plus)</v>
      </c>
      <c r="D24" s="24" t="str">
        <f>IF($A24="","",IFERROR(INDEX(Barneveld!$A$4:$A$36,MATCH($A24,Barneveld!$C$4:$C$36,0)),""))</f>
        <v/>
      </c>
      <c r="E24" s="15">
        <f>IF($A24="",0,IFERROR(INDEX(Barneveld!$H$4:$H$36,MATCH($A24,Barneveld!$C$4:$C$36,0)),0))</f>
        <v>0</v>
      </c>
      <c r="F24" s="24">
        <f>IF($A24="","",IFERROR(INDEX(Baarn!$A$4:$A$38,MATCH($A24,Baarn!$C$4:$C$38,0)),""))</f>
        <v>12</v>
      </c>
      <c r="G24" s="15">
        <f>IF($A24="",0,IFERROR(INDEX(Baarn!$I$4:$I$38,MATCH($A24,Baarn!$C$4:$C$38,0)),0))</f>
        <v>47</v>
      </c>
      <c r="H24" s="24" t="str">
        <f>IF($A24="","",IFERROR(INDEX(Scherpenzeel!$A$4:$A$103,MATCH($A24,Scherpenzeel!$C$4:$C$103,0)),""))</f>
        <v>18</v>
      </c>
      <c r="I24" s="15">
        <v>29</v>
      </c>
      <c r="J24" s="24" t="str">
        <f>IF($A24="","",IFERROR(INDEX('4'!$A$4:$A$103,MATCH($A24,'4'!$C$4:$C$103,0)),""))</f>
        <v/>
      </c>
      <c r="K24" s="15">
        <f>IF($A24="",0,IFERROR(INDEX('4'!$I$4:$I$103,MATCH($A24,'4'!$C$4:$C$103,0)),0))</f>
        <v>0</v>
      </c>
      <c r="L24" s="24" t="str">
        <f>IF($A24="","",IFERROR(INDEX('5'!$A$4:$A$103,MATCH($A24,'5'!$C$4:$C$103,0)),""))</f>
        <v/>
      </c>
      <c r="M24" s="15">
        <f>IF($A24="",0,IFERROR(INDEX('5'!$I$4:$I$103,MATCH($A24,'5'!$C$4:$C$103,0)),0))</f>
        <v>0</v>
      </c>
      <c r="N24" s="25">
        <f>IF($A24="","",E24+G24+I24+K24+M24)</f>
        <v>76</v>
      </c>
      <c r="O24" s="26">
        <f>IF(OR($A24="",N24="",N24=0),"",RANK(N24,$N$4:$N$203,0))</f>
        <v>21</v>
      </c>
      <c r="AA24" t="str">
        <f>Barneveld!C27</f>
        <v>Jelmer Groen</v>
      </c>
      <c r="AB24">
        <f>IF(AA24="",0,IF(COUNTIF($AA$1:AA24,AA24)=1,1,0))</f>
        <v>1</v>
      </c>
      <c r="AC24">
        <f>IF(AB24=1,COUNTIF($AB$1:AB24,1),"")</f>
        <v>24</v>
      </c>
    </row>
    <row r="25" spans="1:29" x14ac:dyDescent="0.25">
      <c r="A25" s="13" t="str">
        <f>IFERROR(INDEX($AA$1:$AA$368,MATCH(18,$AC$1:$AC$368,0)),"")</f>
        <v>Yoep van der Peet</v>
      </c>
      <c r="B25" s="13" t="str">
        <f>IF($A25="","",IF(IFERROR(INDEX(Barneveld!$E$4:$E$36,MATCH($A25,Barneveld!$C$4:$C$36,0)),"")&lt;&gt;"",IFERROR(INDEX(Barneveld!$E$4:$E$36,MATCH($A25,Barneveld!$C$4:$C$36,0)),""),IF(IFERROR(INDEX(Baarn!$F$4:$F$38,MATCH($A25,Baarn!$C$4:$C$38,0)),"")&lt;&gt;"",IFERROR(INDEX(Baarn!$F$4:$F$38,MATCH($A25,Baarn!$C$4:$C$38,0)),""),IF(IFERROR(INDEX(Scherpenzeel!$F$4:$F$103,MATCH($A25,Scherpenzeel!$C$4:$C$103,0)),"")&lt;&gt;"",IFERROR(INDEX(Scherpenzeel!$F$4:$F$103,MATCH($A25,Scherpenzeel!$C$4:$C$103,0)),""),IF(IFERROR(INDEX('4'!$F$4:$F$103,MATCH($A25,'4'!$C$4:$C$103,0)),"")&lt;&gt;"",IFERROR(INDEX('4'!$F$4:$F$103,MATCH($A25,'4'!$C$4:$C$103,0)),""),IFERROR(INDEX('5'!$F$4:$F$103,MATCH($A25,'5'!$C$4:$C$103,0)),""))))))</f>
        <v>W.V. Eemland</v>
      </c>
      <c r="C25" s="13" t="str">
        <f>IF($A25="","",IF(IFERROR(INDEX(Barneveld!$D$4:$D$36,MATCH($A25,Barneveld!$C$4:$C$36,0)),"")&lt;&gt;"",IFERROR(INDEX(Barneveld!$D$4:$D$36,MATCH($A25,Barneveld!$C$4:$C$36,0)),""),IF(IFERROR(INDEX(Baarn!$E$4:$E$38,MATCH($A25,Baarn!$C$4:$C$38,0)),"")&lt;&gt;"",IFERROR(INDEX(Baarn!$E$4:$E$38,MATCH($A25,Baarn!$C$4:$C$38,0)),""),IF(IFERROR(INDEX(Scherpenzeel!$E$4:$E$103,MATCH($A25,Scherpenzeel!$C$4:$C$103,0)),"")&lt;&gt;"",IFERROR(INDEX(Scherpenzeel!$E$4:$E$103,MATCH($A25,Scherpenzeel!$C$4:$C$103,0)),""),IF(IFERROR(INDEX('4'!$E$4:$E$103,MATCH($A25,'4'!$C$4:$C$103,0)),"")&lt;&gt;"",IFERROR(INDEX('4'!$E$4:$E$103,MATCH($A25,'4'!$C$4:$C$103,0)),""),IFERROR(INDEX('5'!$E$4:$E$103,MATCH($A25,'5'!$C$4:$C$103,0)),""))))))</f>
        <v>KNWU Licentie (Plus)</v>
      </c>
      <c r="D25" s="24">
        <f>IF($A25="","",IFERROR(INDEX(Barneveld!$A$4:$A$36,MATCH($A25,Barneveld!$C$4:$C$36,0)),""))</f>
        <v>18</v>
      </c>
      <c r="E25" s="15">
        <f>IF($A25="",0,IFERROR(INDEX(Barneveld!$H$4:$H$36,MATCH($A25,Barneveld!$C$4:$C$36,0)),0))</f>
        <v>29</v>
      </c>
      <c r="F25" s="24">
        <f>IF($A25="","",IFERROR(INDEX(Baarn!$A$4:$A$38,MATCH($A25,Baarn!$C$4:$C$38,0)),""))</f>
        <v>15</v>
      </c>
      <c r="G25" s="15">
        <f>IF($A25="",0,IFERROR(INDEX(Baarn!$I$4:$I$38,MATCH($A25,Baarn!$C$4:$C$38,0)),0))</f>
        <v>38</v>
      </c>
      <c r="H25" s="24" t="str">
        <f>IF($A25="","",IFERROR(INDEX(Scherpenzeel!$A$4:$A$103,MATCH($A25,Scherpenzeel!$C$4:$C$103,0)),""))</f>
        <v/>
      </c>
      <c r="I25" s="15">
        <f>IF($A25="",0,IFERROR(INDEX(Scherpenzeel!$I$4:$I$103,MATCH($A25,Scherpenzeel!$C$4:$C$103,0)),0))</f>
        <v>0</v>
      </c>
      <c r="J25" s="24" t="str">
        <f>IF($A25="","",IFERROR(INDEX('4'!$A$4:$A$103,MATCH($A25,'4'!$C$4:$C$103,0)),""))</f>
        <v/>
      </c>
      <c r="K25" s="15">
        <f>IF($A25="",0,IFERROR(INDEX('4'!$I$4:$I$103,MATCH($A25,'4'!$C$4:$C$103,0)),0))</f>
        <v>0</v>
      </c>
      <c r="L25" s="24" t="str">
        <f>IF($A25="","",IFERROR(INDEX('5'!$A$4:$A$103,MATCH($A25,'5'!$C$4:$C$103,0)),""))</f>
        <v/>
      </c>
      <c r="M25" s="15">
        <f>IF($A25="",0,IFERROR(INDEX('5'!$I$4:$I$103,MATCH($A25,'5'!$C$4:$C$103,0)),0))</f>
        <v>0</v>
      </c>
      <c r="N25" s="25">
        <f>IF($A25="","",E25+G25+I25+K25+M25)</f>
        <v>67</v>
      </c>
      <c r="O25" s="26">
        <f>IF(OR($A25="",N25="",N25=0),"",RANK(N25,$N$4:$N$203,0))</f>
        <v>22</v>
      </c>
      <c r="AA25" t="str">
        <f>Barneveld!C28</f>
        <v>Jan de Graaf</v>
      </c>
      <c r="AB25">
        <f>IF(AA25="",0,IF(COUNTIF($AA$1:AA25,AA25)=1,1,0))</f>
        <v>1</v>
      </c>
      <c r="AC25">
        <f>IF(AB25=1,COUNTIF($AB$1:AB25,1),"")</f>
        <v>25</v>
      </c>
    </row>
    <row r="26" spans="1:29" x14ac:dyDescent="0.25">
      <c r="A26" s="13" t="str">
        <f>IFERROR(INDEX($AA$1:$AA$368,MATCH(36,$AC$1:$AC$368,0)),"")</f>
        <v>Noery Weber</v>
      </c>
      <c r="B26" s="13" t="str">
        <f>IF($A26="","",IF(IFERROR(INDEX(Barneveld!$E$4:$E$36,MATCH($A26,Barneveld!$C$4:$C$36,0)),"")&lt;&gt;"",IFERROR(INDEX(Barneveld!$E$4:$E$36,MATCH($A26,Barneveld!$C$4:$C$36,0)),""),IF(IFERROR(INDEX(Baarn!$F$4:$F$38,MATCH($A26,Baarn!$C$4:$C$38,0)),"")&lt;&gt;"",IFERROR(INDEX(Baarn!$F$4:$F$38,MATCH($A26,Baarn!$C$4:$C$38,0)),""),IF(IFERROR(INDEX(Scherpenzeel!$F$4:$F$103,MATCH($A26,Scherpenzeel!$C$4:$C$103,0)),"")&lt;&gt;"",IFERROR(INDEX(Scherpenzeel!$F$4:$F$103,MATCH($A26,Scherpenzeel!$C$4:$C$103,0)),""),IF(IFERROR(INDEX('4'!$F$4:$F$103,MATCH($A26,'4'!$C$4:$C$103,0)),"")&lt;&gt;"",IFERROR(INDEX('4'!$F$4:$F$103,MATCH($A26,'4'!$C$4:$C$103,0)),""),IFERROR(INDEX('5'!$F$4:$F$103,MATCH($A26,'5'!$C$4:$C$103,0)),""))))))</f>
        <v>ASC Olympia</v>
      </c>
      <c r="C26" s="13" t="str">
        <f>IF($A26="","",IF(IFERROR(INDEX(Barneveld!$D$4:$D$36,MATCH($A26,Barneveld!$C$4:$C$36,0)),"")&lt;&gt;"",IFERROR(INDEX(Barneveld!$D$4:$D$36,MATCH($A26,Barneveld!$C$4:$C$36,0)),""),IF(IFERROR(INDEX(Baarn!$E$4:$E$38,MATCH($A26,Baarn!$C$4:$C$38,0)),"")&lt;&gt;"",IFERROR(INDEX(Baarn!$E$4:$E$38,MATCH($A26,Baarn!$C$4:$C$38,0)),""),IF(IFERROR(INDEX(Scherpenzeel!$E$4:$E$103,MATCH($A26,Scherpenzeel!$C$4:$C$103,0)),"")&lt;&gt;"",IFERROR(INDEX(Scherpenzeel!$E$4:$E$103,MATCH($A26,Scherpenzeel!$C$4:$C$103,0)),""),IF(IFERROR(INDEX('4'!$E$4:$E$103,MATCH($A26,'4'!$C$4:$C$103,0)),"")&lt;&gt;"",IFERROR(INDEX('4'!$E$4:$E$103,MATCH($A26,'4'!$C$4:$C$103,0)),""),IFERROR(INDEX('5'!$E$4:$E$103,MATCH($A26,'5'!$C$4:$C$103,0)),""))))))</f>
        <v>Junior (U19)</v>
      </c>
      <c r="D26" s="24" t="str">
        <f>IF($A26="","",IFERROR(INDEX(Barneveld!$A$4:$A$36,MATCH($A26,Barneveld!$C$4:$C$36,0)),""))</f>
        <v/>
      </c>
      <c r="E26" s="15">
        <f>IF($A26="",0,IFERROR(INDEX(Barneveld!$H$4:$H$36,MATCH($A26,Barneveld!$C$4:$C$36,0)),0))</f>
        <v>0</v>
      </c>
      <c r="F26" s="24">
        <f>IF($A26="","",IFERROR(INDEX(Baarn!$A$4:$A$38,MATCH($A26,Baarn!$C$4:$C$38,0)),""))</f>
        <v>7</v>
      </c>
      <c r="G26" s="15">
        <f>IF($A26="",0,IFERROR(INDEX(Baarn!$I$4:$I$38,MATCH($A26,Baarn!$C$4:$C$38,0)),0))</f>
        <v>66</v>
      </c>
      <c r="H26" s="24" t="str">
        <f>IF($A26="","",IFERROR(INDEX(Scherpenzeel!$A$4:$A$103,MATCH($A26,Scherpenzeel!$C$4:$C$103,0)),""))</f>
        <v/>
      </c>
      <c r="I26" s="15">
        <f>IF($A26="",0,IFERROR(INDEX(Scherpenzeel!$I$4:$I$103,MATCH($A26,Scherpenzeel!$C$4:$C$103,0)),0))</f>
        <v>0</v>
      </c>
      <c r="J26" s="24" t="str">
        <f>IF($A26="","",IFERROR(INDEX('4'!$A$4:$A$103,MATCH($A26,'4'!$C$4:$C$103,0)),""))</f>
        <v/>
      </c>
      <c r="K26" s="15">
        <f>IF($A26="",0,IFERROR(INDEX('4'!$I$4:$I$103,MATCH($A26,'4'!$C$4:$C$103,0)),0))</f>
        <v>0</v>
      </c>
      <c r="L26" s="24" t="str">
        <f>IF($A26="","",IFERROR(INDEX('5'!$A$4:$A$103,MATCH($A26,'5'!$C$4:$C$103,0)),""))</f>
        <v/>
      </c>
      <c r="M26" s="15">
        <f>IF($A26="",0,IFERROR(INDEX('5'!$I$4:$I$103,MATCH($A26,'5'!$C$4:$C$103,0)),0))</f>
        <v>0</v>
      </c>
      <c r="N26" s="25">
        <f>IF($A26="","",E26+G26+I26+K26+M26)</f>
        <v>66</v>
      </c>
      <c r="O26" s="26">
        <f>IF(OR($A26="",N26="",N26=0),"",RANK(N26,$N$4:$N$203,0))</f>
        <v>23</v>
      </c>
      <c r="AA26" t="str">
        <f>Barneveld!C29</f>
        <v>Ron Bol</v>
      </c>
      <c r="AB26">
        <f>IF(AA26="",0,IF(COUNTIF($AA$1:AA26,AA26)=1,1,0))</f>
        <v>1</v>
      </c>
      <c r="AC26">
        <f>IF(AB26=1,COUNTIF($AB$1:AB26,1),"")</f>
        <v>26</v>
      </c>
    </row>
    <row r="27" spans="1:29" x14ac:dyDescent="0.25">
      <c r="A27" s="13" t="str">
        <f>IFERROR(INDEX($AA$1:$AA$368,MATCH(37,$AC$1:$AC$368,0)),"")</f>
        <v>Lars de Weert</v>
      </c>
      <c r="B27" s="13" t="str">
        <f>IF($A27="","",IF(IFERROR(INDEX(Barneveld!$E$4:$E$36,MATCH($A27,Barneveld!$C$4:$C$36,0)),"")&lt;&gt;"",IFERROR(INDEX(Barneveld!$E$4:$E$36,MATCH($A27,Barneveld!$C$4:$C$36,0)),""),IF(IFERROR(INDEX(Baarn!$F$4:$F$38,MATCH($A27,Baarn!$C$4:$C$38,0)),"")&lt;&gt;"",IFERROR(INDEX(Baarn!$F$4:$F$38,MATCH($A27,Baarn!$C$4:$C$38,0)),""),IF(IFERROR(INDEX(Scherpenzeel!$F$4:$F$103,MATCH($A27,Scherpenzeel!$C$4:$C$103,0)),"")&lt;&gt;"",IFERROR(INDEX(Scherpenzeel!$F$4:$F$103,MATCH($A27,Scherpenzeel!$C$4:$C$103,0)),""),IF(IFERROR(INDEX('4'!$F$4:$F$103,MATCH($A27,'4'!$C$4:$C$103,0)),"")&lt;&gt;"",IFERROR(INDEX('4'!$F$4:$F$103,MATCH($A27,'4'!$C$4:$C$103,0)),""),IFERROR(INDEX('5'!$F$4:$F$103,MATCH($A27,'5'!$C$4:$C$103,0)),""))))))</f>
        <v>ASC Olympia</v>
      </c>
      <c r="C27" s="13" t="str">
        <f>IF($A27="","",IF(IFERROR(INDEX(Barneveld!$D$4:$D$36,MATCH($A27,Barneveld!$C$4:$C$36,0)),"")&lt;&gt;"",IFERROR(INDEX(Barneveld!$D$4:$D$36,MATCH($A27,Barneveld!$C$4:$C$36,0)),""),IF(IFERROR(INDEX(Baarn!$E$4:$E$38,MATCH($A27,Baarn!$C$4:$C$38,0)),"")&lt;&gt;"",IFERROR(INDEX(Baarn!$E$4:$E$38,MATCH($A27,Baarn!$C$4:$C$38,0)),""),IF(IFERROR(INDEX(Scherpenzeel!$E$4:$E$103,MATCH($A27,Scherpenzeel!$C$4:$C$103,0)),"")&lt;&gt;"",IFERROR(INDEX(Scherpenzeel!$E$4:$E$103,MATCH($A27,Scherpenzeel!$C$4:$C$103,0)),""),IF(IFERROR(INDEX('4'!$E$4:$E$103,MATCH($A27,'4'!$C$4:$C$103,0)),"")&lt;&gt;"",IFERROR(INDEX('4'!$E$4:$E$103,MATCH($A27,'4'!$C$4:$C$103,0)),""),IFERROR(INDEX('5'!$E$4:$E$103,MATCH($A27,'5'!$C$4:$C$103,0)),""))))))</f>
        <v>Junior (U19)</v>
      </c>
      <c r="D27" s="24" t="str">
        <f>IF($A27="","",IFERROR(INDEX(Barneveld!$A$4:$A$36,MATCH($A27,Barneveld!$C$4:$C$36,0)),""))</f>
        <v/>
      </c>
      <c r="E27" s="15">
        <f>IF($A27="",0,IFERROR(INDEX(Barneveld!$H$4:$H$36,MATCH($A27,Barneveld!$C$4:$C$36,0)),0))</f>
        <v>0</v>
      </c>
      <c r="F27" s="24">
        <f>IF($A27="","",IFERROR(INDEX(Baarn!$A$4:$A$38,MATCH($A27,Baarn!$C$4:$C$38,0)),""))</f>
        <v>8</v>
      </c>
      <c r="G27" s="15">
        <f>IF($A27="",0,IFERROR(INDEX(Baarn!$I$4:$I$38,MATCH($A27,Baarn!$C$4:$C$38,0)),0))</f>
        <v>62</v>
      </c>
      <c r="H27" s="24" t="str">
        <f>IF($A27="","",IFERROR(INDEX(Scherpenzeel!$A$4:$A$103,MATCH($A27,Scherpenzeel!$C$4:$C$103,0)),""))</f>
        <v/>
      </c>
      <c r="I27" s="15">
        <f>IF($A27="",0,IFERROR(INDEX(Scherpenzeel!$I$4:$I$103,MATCH($A27,Scherpenzeel!$C$4:$C$103,0)),0))</f>
        <v>0</v>
      </c>
      <c r="J27" s="24" t="str">
        <f>IF($A27="","",IFERROR(INDEX('4'!$A$4:$A$103,MATCH($A27,'4'!$C$4:$C$103,0)),""))</f>
        <v/>
      </c>
      <c r="K27" s="15">
        <f>IF($A27="",0,IFERROR(INDEX('4'!$I$4:$I$103,MATCH($A27,'4'!$C$4:$C$103,0)),0))</f>
        <v>0</v>
      </c>
      <c r="L27" s="24" t="str">
        <f>IF($A27="","",IFERROR(INDEX('5'!$A$4:$A$103,MATCH($A27,'5'!$C$4:$C$103,0)),""))</f>
        <v/>
      </c>
      <c r="M27" s="15">
        <f>IF($A27="",0,IFERROR(INDEX('5'!$I$4:$I$103,MATCH($A27,'5'!$C$4:$C$103,0)),0))</f>
        <v>0</v>
      </c>
      <c r="N27" s="25">
        <f>IF($A27="","",E27+G27+I27+K27+M27)</f>
        <v>62</v>
      </c>
      <c r="O27" s="26">
        <f>IF(OR($A27="",N27="",N27=0),"",RANK(N27,$N$4:$N$203,0))</f>
        <v>24</v>
      </c>
      <c r="AA27" t="str">
        <f>Barneveld!C30</f>
        <v>Mark Hermsen</v>
      </c>
      <c r="AB27">
        <f>IF(AA27="",0,IF(COUNTIF($AA$1:AA27,AA27)=1,1,0))</f>
        <v>1</v>
      </c>
      <c r="AC27">
        <f>IF(AB27=1,COUNTIF($AB$1:AB27,1),"")</f>
        <v>27</v>
      </c>
    </row>
    <row r="28" spans="1:29" x14ac:dyDescent="0.25">
      <c r="A28" s="13" t="str">
        <f>IFERROR(INDEX($AA$1:$AA$368,MATCH(23,$AC$1:$AC$368,0)),"")</f>
        <v>Martijn Veling</v>
      </c>
      <c r="B28" s="13" t="str">
        <f>IF($A28="","",IF(IFERROR(INDEX(Barneveld!$E$4:$E$36,MATCH($A28,Barneveld!$C$4:$C$36,0)),"")&lt;&gt;"",IFERROR(INDEX(Barneveld!$E$4:$E$36,MATCH($A28,Barneveld!$C$4:$C$36,0)),""),IF(IFERROR(INDEX(Baarn!$F$4:$F$38,MATCH($A28,Baarn!$C$4:$C$38,0)),"")&lt;&gt;"",IFERROR(INDEX(Baarn!$F$4:$F$38,MATCH($A28,Baarn!$C$4:$C$38,0)),""),IF(IFERROR(INDEX(Scherpenzeel!$F$4:$F$103,MATCH($A28,Scherpenzeel!$C$4:$C$103,0)),"")&lt;&gt;"",IFERROR(INDEX(Scherpenzeel!$F$4:$F$103,MATCH($A28,Scherpenzeel!$C$4:$C$103,0)),""),IF(IFERROR(INDEX('4'!$F$4:$F$103,MATCH($A28,'4'!$C$4:$C$103,0)),"")&lt;&gt;"",IFERROR(INDEX('4'!$F$4:$F$103,MATCH($A28,'4'!$C$4:$C$103,0)),""),IFERROR(INDEX('5'!$F$4:$F$103,MATCH($A28,'5'!$C$4:$C$103,0)),""))))))</f>
        <v>WV de Driehoek</v>
      </c>
      <c r="C28" s="13" t="str">
        <f>IF($A28="","",IF(IFERROR(INDEX(Barneveld!$D$4:$D$36,MATCH($A28,Barneveld!$C$4:$C$36,0)),"")&lt;&gt;"",IFERROR(INDEX(Barneveld!$D$4:$D$36,MATCH($A28,Barneveld!$C$4:$C$36,0)),""),IF(IFERROR(INDEX(Baarn!$E$4:$E$38,MATCH($A28,Baarn!$C$4:$C$38,0)),"")&lt;&gt;"",IFERROR(INDEX(Baarn!$E$4:$E$38,MATCH($A28,Baarn!$C$4:$C$38,0)),""),IF(IFERROR(INDEX(Scherpenzeel!$E$4:$E$103,MATCH($A28,Scherpenzeel!$C$4:$C$103,0)),"")&lt;&gt;"",IFERROR(INDEX(Scherpenzeel!$E$4:$E$103,MATCH($A28,Scherpenzeel!$C$4:$C$103,0)),""),IF(IFERROR(INDEX('4'!$E$4:$E$103,MATCH($A28,'4'!$C$4:$C$103,0)),"")&lt;&gt;"",IFERROR(INDEX('4'!$E$4:$E$103,MATCH($A28,'4'!$C$4:$C$103,0)),""),IFERROR(INDEX('5'!$E$4:$E$103,MATCH($A28,'5'!$C$4:$C$103,0)),""))))))</f>
        <v>KNWU Licentie (Plus)</v>
      </c>
      <c r="D28" s="24">
        <f>IF($A28="","",IFERROR(INDEX(Barneveld!$A$4:$A$36,MATCH($A28,Barneveld!$C$4:$C$36,0)),""))</f>
        <v>23</v>
      </c>
      <c r="E28" s="15">
        <f>IF($A28="",0,IFERROR(INDEX(Barneveld!$H$4:$H$36,MATCH($A28,Barneveld!$C$4:$C$36,0)),0))</f>
        <v>16</v>
      </c>
      <c r="F28" s="24">
        <f>IF($A28="","",IFERROR(INDEX(Baarn!$A$4:$A$38,MATCH($A28,Baarn!$C$4:$C$38,0)),""))</f>
        <v>13</v>
      </c>
      <c r="G28" s="15">
        <f>IF($A28="",0,IFERROR(INDEX(Baarn!$I$4:$I$38,MATCH($A28,Baarn!$C$4:$C$38,0)),0))</f>
        <v>44</v>
      </c>
      <c r="H28" s="24" t="str">
        <f>IF($A28="","",IFERROR(INDEX(Scherpenzeel!$A$4:$A$103,MATCH($A28,Scherpenzeel!$C$4:$C$103,0)),""))</f>
        <v/>
      </c>
      <c r="I28" s="15">
        <f>IF($A28="",0,IFERROR(INDEX(Scherpenzeel!$I$4:$I$103,MATCH($A28,Scherpenzeel!$C$4:$C$103,0)),0))</f>
        <v>0</v>
      </c>
      <c r="J28" s="24" t="str">
        <f>IF($A28="","",IFERROR(INDEX('4'!$A$4:$A$103,MATCH($A28,'4'!$C$4:$C$103,0)),""))</f>
        <v/>
      </c>
      <c r="K28" s="15">
        <f>IF($A28="",0,IFERROR(INDEX('4'!$I$4:$I$103,MATCH($A28,'4'!$C$4:$C$103,0)),0))</f>
        <v>0</v>
      </c>
      <c r="L28" s="24" t="str">
        <f>IF($A28="","",IFERROR(INDEX('5'!$A$4:$A$103,MATCH($A28,'5'!$C$4:$C$103,0)),""))</f>
        <v/>
      </c>
      <c r="M28" s="15">
        <f>IF($A28="",0,IFERROR(INDEX('5'!$I$4:$I$103,MATCH($A28,'5'!$C$4:$C$103,0)),0))</f>
        <v>0</v>
      </c>
      <c r="N28" s="25">
        <f>IF($A28="","",E28+G28+I28+K28+M28)</f>
        <v>60</v>
      </c>
      <c r="O28" s="26">
        <f>IF(OR($A28="",N28="",N28=0),"",RANK(N28,$N$4:$N$203,0))</f>
        <v>25</v>
      </c>
      <c r="AA28" t="str">
        <f>Barneveld!C31</f>
        <v>Danny Vrolijk</v>
      </c>
      <c r="AB28">
        <f>IF(AA28="",0,IF(COUNTIF($AA$1:AA28,AA28)=1,1,0))</f>
        <v>1</v>
      </c>
      <c r="AC28">
        <f>IF(AB28=1,COUNTIF($AB$1:AB28,1),"")</f>
        <v>28</v>
      </c>
    </row>
    <row r="29" spans="1:29" x14ac:dyDescent="0.25">
      <c r="A29" s="13" t="str">
        <f>IFERROR(INDEX($AA$1:$AA$368,MATCH(15,$AC$1:$AC$368,0)),"")</f>
        <v>Julian Dingemans</v>
      </c>
      <c r="B29" s="13" t="str">
        <f>IF($A29="","",IF(IFERROR(INDEX(Barneveld!$E$4:$E$36,MATCH($A29,Barneveld!$C$4:$C$36,0)),"")&lt;&gt;"",IFERROR(INDEX(Barneveld!$E$4:$E$36,MATCH($A29,Barneveld!$C$4:$C$36,0)),""),IF(IFERROR(INDEX(Baarn!$F$4:$F$38,MATCH($A29,Baarn!$C$4:$C$38,0)),"")&lt;&gt;"",IFERROR(INDEX(Baarn!$F$4:$F$38,MATCH($A29,Baarn!$C$4:$C$38,0)),""),IF(IFERROR(INDEX(Scherpenzeel!$F$4:$F$103,MATCH($A29,Scherpenzeel!$C$4:$C$103,0)),"")&lt;&gt;"",IFERROR(INDEX(Scherpenzeel!$F$4:$F$103,MATCH($A29,Scherpenzeel!$C$4:$C$103,0)),""),IF(IFERROR(INDEX('4'!$F$4:$F$103,MATCH($A29,'4'!$C$4:$C$103,0)),"")&lt;&gt;"",IFERROR(INDEX('4'!$F$4:$F$103,MATCH($A29,'4'!$C$4:$C$103,0)),""),IFERROR(INDEX('5'!$F$4:$F$103,MATCH($A29,'5'!$C$4:$C$103,0)),""))))))</f>
        <v>Willebrord Wil Vooruit</v>
      </c>
      <c r="C29" s="13" t="str">
        <f>IF($A29="","",IF(IFERROR(INDEX(Barneveld!$D$4:$D$36,MATCH($A29,Barneveld!$C$4:$C$36,0)),"")&lt;&gt;"",IFERROR(INDEX(Barneveld!$D$4:$D$36,MATCH($A29,Barneveld!$C$4:$C$36,0)),""),IF(IFERROR(INDEX(Baarn!$E$4:$E$38,MATCH($A29,Baarn!$C$4:$C$38,0)),"")&lt;&gt;"",IFERROR(INDEX(Baarn!$E$4:$E$38,MATCH($A29,Baarn!$C$4:$C$38,0)),""),IF(IFERROR(INDEX(Scherpenzeel!$E$4:$E$103,MATCH($A29,Scherpenzeel!$C$4:$C$103,0)),"")&lt;&gt;"",IFERROR(INDEX(Scherpenzeel!$E$4:$E$103,MATCH($A29,Scherpenzeel!$C$4:$C$103,0)),""),IF(IFERROR(INDEX('4'!$E$4:$E$103,MATCH($A29,'4'!$C$4:$C$103,0)),"")&lt;&gt;"",IFERROR(INDEX('4'!$E$4:$E$103,MATCH($A29,'4'!$C$4:$C$103,0)),""),IFERROR(INDEX('5'!$E$4:$E$103,MATCH($A29,'5'!$C$4:$C$103,0)),""))))))</f>
        <v>Junior (U19)</v>
      </c>
      <c r="D29" s="24">
        <f>IF($A29="","",IFERROR(INDEX(Barneveld!$A$4:$A$36,MATCH($A29,Barneveld!$C$4:$C$36,0)),""))</f>
        <v>15</v>
      </c>
      <c r="E29" s="15">
        <f>IF($A29="",0,IFERROR(INDEX(Barneveld!$H$4:$H$36,MATCH($A29,Barneveld!$C$4:$C$36,0)),0))</f>
        <v>38</v>
      </c>
      <c r="F29" s="24">
        <f>IF($A29="","",IFERROR(INDEX(Baarn!$A$4:$A$38,MATCH($A29,Baarn!$C$4:$C$38,0)),""))</f>
        <v>22</v>
      </c>
      <c r="G29" s="15">
        <f>IF($A29="",0,IFERROR(INDEX(Baarn!$I$4:$I$38,MATCH($A29,Baarn!$C$4:$C$38,0)),0))</f>
        <v>20</v>
      </c>
      <c r="H29" s="24" t="str">
        <f>IF($A29="","",IFERROR(INDEX(Scherpenzeel!$A$4:$A$103,MATCH($A29,Scherpenzeel!$C$4:$C$103,0)),""))</f>
        <v/>
      </c>
      <c r="I29" s="15">
        <f>IF($A29="",0,IFERROR(INDEX(Scherpenzeel!$I$4:$I$103,MATCH($A29,Scherpenzeel!$C$4:$C$103,0)),0))</f>
        <v>0</v>
      </c>
      <c r="J29" s="24" t="str">
        <f>IF($A29="","",IFERROR(INDEX('4'!$A$4:$A$103,MATCH($A29,'4'!$C$4:$C$103,0)),""))</f>
        <v/>
      </c>
      <c r="K29" s="15">
        <f>IF($A29="",0,IFERROR(INDEX('4'!$I$4:$I$103,MATCH($A29,'4'!$C$4:$C$103,0)),0))</f>
        <v>0</v>
      </c>
      <c r="L29" s="24" t="str">
        <f>IF($A29="","",IFERROR(INDEX('5'!$A$4:$A$103,MATCH($A29,'5'!$C$4:$C$103,0)),""))</f>
        <v/>
      </c>
      <c r="M29" s="15">
        <f>IF($A29="",0,IFERROR(INDEX('5'!$I$4:$I$103,MATCH($A29,'5'!$C$4:$C$103,0)),0))</f>
        <v>0</v>
      </c>
      <c r="N29" s="25">
        <f>IF($A29="","",E29+G29+I29+K29+M29)</f>
        <v>58</v>
      </c>
      <c r="O29" s="26">
        <f>IF(OR($A29="",N29="",N29=0),"",RANK(N29,$N$4:$N$203,0))</f>
        <v>26</v>
      </c>
      <c r="AA29" t="str">
        <f>Barneveld!C32</f>
        <v>Egbert Schoemaker</v>
      </c>
      <c r="AB29">
        <f>IF(AA29="",0,IF(COUNTIF($AA$1:AA29,AA29)=1,1,0))</f>
        <v>1</v>
      </c>
      <c r="AC29">
        <f>IF(AB29=1,COUNTIF($AB$1:AB29,1),"")</f>
        <v>29</v>
      </c>
    </row>
    <row r="30" spans="1:29" x14ac:dyDescent="0.25">
      <c r="A30" s="13" t="str">
        <f>IFERROR(INDEX($AA$1:$AA$368,MATCH(38,$AC$1:$AC$368,0)),"")</f>
        <v>Nick Broos</v>
      </c>
      <c r="B30" s="13" t="str">
        <f>IF($A30="","",IF(IFERROR(INDEX(Barneveld!$E$4:$E$36,MATCH($A30,Barneveld!$C$4:$C$36,0)),"")&lt;&gt;"",IFERROR(INDEX(Barneveld!$E$4:$E$36,MATCH($A30,Barneveld!$C$4:$C$36,0)),""),IF(IFERROR(INDEX(Baarn!$F$4:$F$38,MATCH($A30,Baarn!$C$4:$C$38,0)),"")&lt;&gt;"",IFERROR(INDEX(Baarn!$F$4:$F$38,MATCH($A30,Baarn!$C$4:$C$38,0)),""),IF(IFERROR(INDEX(Scherpenzeel!$F$4:$F$103,MATCH($A30,Scherpenzeel!$C$4:$C$103,0)),"")&lt;&gt;"",IFERROR(INDEX(Scherpenzeel!$F$4:$F$103,MATCH($A30,Scherpenzeel!$C$4:$C$103,0)),""),IF(IFERROR(INDEX('4'!$F$4:$F$103,MATCH($A30,'4'!$C$4:$C$103,0)),"")&lt;&gt;"",IFERROR(INDEX('4'!$F$4:$F$103,MATCH($A30,'4'!$C$4:$C$103,0)),""),IFERROR(INDEX('5'!$F$4:$F$103,MATCH($A30,'5'!$C$4:$C$103,0)),""))))))</f>
        <v>FAVO-Kevenaar Cycling Team</v>
      </c>
      <c r="C30" s="13" t="str">
        <f>IF($A30="","",IF(IFERROR(INDEX(Barneveld!$D$4:$D$36,MATCH($A30,Barneveld!$C$4:$C$36,0)),"")&lt;&gt;"",IFERROR(INDEX(Barneveld!$D$4:$D$36,MATCH($A30,Barneveld!$C$4:$C$36,0)),""),IF(IFERROR(INDEX(Baarn!$E$4:$E$38,MATCH($A30,Baarn!$C$4:$C$38,0)),"")&lt;&gt;"",IFERROR(INDEX(Baarn!$E$4:$E$38,MATCH($A30,Baarn!$C$4:$C$38,0)),""),IF(IFERROR(INDEX(Scherpenzeel!$E$4:$E$103,MATCH($A30,Scherpenzeel!$C$4:$C$103,0)),"")&lt;&gt;"",IFERROR(INDEX(Scherpenzeel!$E$4:$E$103,MATCH($A30,Scherpenzeel!$C$4:$C$103,0)),""),IF(IFERROR(INDEX('4'!$E$4:$E$103,MATCH($A30,'4'!$C$4:$C$103,0)),"")&lt;&gt;"",IFERROR(INDEX('4'!$E$4:$E$103,MATCH($A30,'4'!$C$4:$C$103,0)),""),IFERROR(INDEX('5'!$E$4:$E$103,MATCH($A30,'5'!$C$4:$C$103,0)),""))))))</f>
        <v>Junior (U19)</v>
      </c>
      <c r="D30" s="24" t="str">
        <f>IF($A30="","",IFERROR(INDEX(Barneveld!$A$4:$A$36,MATCH($A30,Barneveld!$C$4:$C$36,0)),""))</f>
        <v/>
      </c>
      <c r="E30" s="15">
        <f>IF($A30="",0,IFERROR(INDEX(Barneveld!$H$4:$H$36,MATCH($A30,Barneveld!$C$4:$C$36,0)),0))</f>
        <v>0</v>
      </c>
      <c r="F30" s="24">
        <f>IF($A30="","",IFERROR(INDEX(Baarn!$A$4:$A$38,MATCH($A30,Baarn!$C$4:$C$38,0)),""))</f>
        <v>10</v>
      </c>
      <c r="G30" s="15">
        <f>IF($A30="",0,IFERROR(INDEX(Baarn!$I$4:$I$38,MATCH($A30,Baarn!$C$4:$C$38,0)),0))</f>
        <v>54</v>
      </c>
      <c r="H30" s="24" t="str">
        <f>IF($A30="","",IFERROR(INDEX(Scherpenzeel!$A$4:$A$103,MATCH($A30,Scherpenzeel!$C$4:$C$103,0)),""))</f>
        <v/>
      </c>
      <c r="I30" s="15">
        <f>IF($A30="",0,IFERROR(INDEX(Scherpenzeel!$I$4:$I$103,MATCH($A30,Scherpenzeel!$C$4:$C$103,0)),0))</f>
        <v>0</v>
      </c>
      <c r="J30" s="24" t="str">
        <f>IF($A30="","",IFERROR(INDEX('4'!$A$4:$A$103,MATCH($A30,'4'!$C$4:$C$103,0)),""))</f>
        <v/>
      </c>
      <c r="K30" s="15">
        <f>IF($A30="",0,IFERROR(INDEX('4'!$I$4:$I$103,MATCH($A30,'4'!$C$4:$C$103,0)),0))</f>
        <v>0</v>
      </c>
      <c r="L30" s="24" t="str">
        <f>IF($A30="","",IFERROR(INDEX('5'!$A$4:$A$103,MATCH($A30,'5'!$C$4:$C$103,0)),""))</f>
        <v/>
      </c>
      <c r="M30" s="15">
        <f>IF($A30="",0,IFERROR(INDEX('5'!$I$4:$I$103,MATCH($A30,'5'!$C$4:$C$103,0)),0))</f>
        <v>0</v>
      </c>
      <c r="N30" s="25">
        <f>IF($A30="","",E30+G30+I30+K30+M30)</f>
        <v>54</v>
      </c>
      <c r="O30" s="26">
        <f>IF(OR($A30="",N30="",N30=0),"",RANK(N30,$N$4:$N$203,0))</f>
        <v>27</v>
      </c>
      <c r="AA30" t="str">
        <f>Barneveld!C33</f>
        <v>Eddy Hermsen</v>
      </c>
      <c r="AB30">
        <f>IF(AA30="",0,IF(COUNTIF($AA$1:AA30,AA30)=1,1,0))</f>
        <v>1</v>
      </c>
      <c r="AC30">
        <f>IF(AB30=1,COUNTIF($AB$1:AB30,1),"")</f>
        <v>30</v>
      </c>
    </row>
    <row r="31" spans="1:29" x14ac:dyDescent="0.25">
      <c r="A31" s="13" t="str">
        <f>IFERROR(INDEX($AA$1:$AA$368,MATCH(12,$AC$1:$AC$368,0)),"")</f>
        <v>Rick Vroege</v>
      </c>
      <c r="B31" s="13" t="str">
        <f>IF($A31="","",IF(IFERROR(INDEX(Barneveld!$E$4:$E$36,MATCH($A31,Barneveld!$C$4:$C$36,0)),"")&lt;&gt;"",IFERROR(INDEX(Barneveld!$E$4:$E$36,MATCH($A31,Barneveld!$C$4:$C$36,0)),""),IF(IFERROR(INDEX(Baarn!$F$4:$F$38,MATCH($A31,Baarn!$C$4:$C$38,0)),"")&lt;&gt;"",IFERROR(INDEX(Baarn!$F$4:$F$38,MATCH($A31,Baarn!$C$4:$C$38,0)),""),IF(IFERROR(INDEX(Scherpenzeel!$F$4:$F$103,MATCH($A31,Scherpenzeel!$C$4:$C$103,0)),"")&lt;&gt;"",IFERROR(INDEX(Scherpenzeel!$F$4:$F$103,MATCH($A31,Scherpenzeel!$C$4:$C$103,0)),""),IF(IFERROR(INDEX('4'!$F$4:$F$103,MATCH($A31,'4'!$C$4:$C$103,0)),"")&lt;&gt;"",IFERROR(INDEX('4'!$F$4:$F$103,MATCH($A31,'4'!$C$4:$C$103,0)),""),IFERROR(INDEX('5'!$F$4:$F$103,MATCH($A31,'5'!$C$4:$C$103,0)),""))))))</f>
        <v>WTC Woerden</v>
      </c>
      <c r="C31" s="13" t="str">
        <f>IF($A31="","",IF(IFERROR(INDEX(Barneveld!$D$4:$D$36,MATCH($A31,Barneveld!$C$4:$C$36,0)),"")&lt;&gt;"",IFERROR(INDEX(Barneveld!$D$4:$D$36,MATCH($A31,Barneveld!$C$4:$C$36,0)),""),IF(IFERROR(INDEX(Baarn!$E$4:$E$38,MATCH($A31,Baarn!$C$4:$C$38,0)),"")&lt;&gt;"",IFERROR(INDEX(Baarn!$E$4:$E$38,MATCH($A31,Baarn!$C$4:$C$38,0)),""),IF(IFERROR(INDEX(Scherpenzeel!$E$4:$E$103,MATCH($A31,Scherpenzeel!$C$4:$C$103,0)),"")&lt;&gt;"",IFERROR(INDEX(Scherpenzeel!$E$4:$E$103,MATCH($A31,Scherpenzeel!$C$4:$C$103,0)),""),IF(IFERROR(INDEX('4'!$E$4:$E$103,MATCH($A31,'4'!$C$4:$C$103,0)),"")&lt;&gt;"",IFERROR(INDEX('4'!$E$4:$E$103,MATCH($A31,'4'!$C$4:$C$103,0)),""),IFERROR(INDEX('5'!$E$4:$E$103,MATCH($A31,'5'!$C$4:$C$103,0)),""))))))</f>
        <v>KNWU Licentie (Plus)</v>
      </c>
      <c r="D31" s="24">
        <f>IF($A31="","",IFERROR(INDEX(Barneveld!$A$4:$A$36,MATCH($A31,Barneveld!$C$4:$C$36,0)),""))</f>
        <v>12</v>
      </c>
      <c r="E31" s="15">
        <f>IF($A31="",0,IFERROR(INDEX(Barneveld!$H$4:$H$36,MATCH($A31,Barneveld!$C$4:$C$36,0)),0))</f>
        <v>47</v>
      </c>
      <c r="F31" s="24" t="str">
        <f>IF($A31="","",IFERROR(INDEX(Baarn!$A$4:$A$38,MATCH($A31,Baarn!$C$4:$C$38,0)),""))</f>
        <v/>
      </c>
      <c r="G31" s="15">
        <f>IF($A31="",0,IFERROR(INDEX(Baarn!$I$4:$I$38,MATCH($A31,Baarn!$C$4:$C$38,0)),0))</f>
        <v>0</v>
      </c>
      <c r="H31" s="24" t="str">
        <f>IF($A31="","",IFERROR(INDEX(Scherpenzeel!$A$4:$A$103,MATCH($A31,Scherpenzeel!$C$4:$C$103,0)),""))</f>
        <v>DNF</v>
      </c>
      <c r="I31" s="15">
        <f>IF($A31="",0,IFERROR(INDEX(Scherpenzeel!$I$4:$I$103,MATCH($A31,Scherpenzeel!$C$4:$C$103,0)),0))</f>
        <v>1</v>
      </c>
      <c r="J31" s="24" t="str">
        <f>IF($A31="","",IFERROR(INDEX('4'!$A$4:$A$103,MATCH($A31,'4'!$C$4:$C$103,0)),""))</f>
        <v/>
      </c>
      <c r="K31" s="15">
        <f>IF($A31="",0,IFERROR(INDEX('4'!$I$4:$I$103,MATCH($A31,'4'!$C$4:$C$103,0)),0))</f>
        <v>0</v>
      </c>
      <c r="L31" s="24" t="str">
        <f>IF($A31="","",IFERROR(INDEX('5'!$A$4:$A$103,MATCH($A31,'5'!$C$4:$C$103,0)),""))</f>
        <v/>
      </c>
      <c r="M31" s="15">
        <f>IF($A31="",0,IFERROR(INDEX('5'!$I$4:$I$103,MATCH($A31,'5'!$C$4:$C$103,0)),0))</f>
        <v>0</v>
      </c>
      <c r="N31" s="25">
        <f>IF($A31="","",E31+G31+I31+K31+M31)</f>
        <v>48</v>
      </c>
      <c r="O31" s="26">
        <f>IF(OR($A31="",N31="",N31=0),"",RANK(N31,$N$4:$N$203,0))</f>
        <v>28</v>
      </c>
      <c r="AA31" t="str">
        <f>Barneveld!C34</f>
        <v>Deon Bergwerff</v>
      </c>
      <c r="AB31">
        <f>IF(AA31="",0,IF(COUNTIF($AA$1:AA31,AA31)=1,1,0))</f>
        <v>1</v>
      </c>
      <c r="AC31">
        <f>IF(AB31=1,COUNTIF($AB$1:AB31,1),"")</f>
        <v>31</v>
      </c>
    </row>
    <row r="32" spans="1:29" x14ac:dyDescent="0.25">
      <c r="A32" s="13" t="str">
        <f>IFERROR(INDEX($AA$1:$AA$368,MATCH(50,$AC$1:$AC$368,0)),"")</f>
        <v>Laurens Dijkstra</v>
      </c>
      <c r="B32" s="13" t="str">
        <f>IF($A32="","",IF(IFERROR(INDEX(Barneveld!$E$4:$E$36,MATCH($A32,Barneveld!$C$4:$C$36,0)),"")&lt;&gt;"",IFERROR(INDEX(Barneveld!$E$4:$E$36,MATCH($A32,Barneveld!$C$4:$C$36,0)),""),IF(IFERROR(INDEX(Baarn!$F$4:$F$38,MATCH($A32,Baarn!$C$4:$C$38,0)),"")&lt;&gt;"",IFERROR(INDEX(Baarn!$F$4:$F$38,MATCH($A32,Baarn!$C$4:$C$38,0)),""),IF(IFERROR(INDEX(Scherpenzeel!$F$4:$F$103,MATCH($A32,Scherpenzeel!$C$4:$C$103,0)),"")&lt;&gt;"",IFERROR(INDEX(Scherpenzeel!$F$4:$F$103,MATCH($A32,Scherpenzeel!$C$4:$C$103,0)),""),IF(IFERROR(INDEX('4'!$F$4:$F$103,MATCH($A32,'4'!$C$4:$C$103,0)),"")&lt;&gt;"",IFERROR(INDEX('4'!$F$4:$F$103,MATCH($A32,'4'!$C$4:$C$103,0)),""),IFERROR(INDEX('5'!$F$4:$F$103,MATCH($A32,'5'!$C$4:$C$103,0)),""))))))</f>
        <v>WV de Amstel</v>
      </c>
      <c r="C32" s="13" t="str">
        <f>IF($A32="","",IF(IFERROR(INDEX(Barneveld!$D$4:$D$36,MATCH($A32,Barneveld!$C$4:$C$36,0)),"")&lt;&gt;"",IFERROR(INDEX(Barneveld!$D$4:$D$36,MATCH($A32,Barneveld!$C$4:$C$36,0)),""),IF(IFERROR(INDEX(Baarn!$E$4:$E$38,MATCH($A32,Baarn!$C$4:$C$38,0)),"")&lt;&gt;"",IFERROR(INDEX(Baarn!$E$4:$E$38,MATCH($A32,Baarn!$C$4:$C$38,0)),""),IF(IFERROR(INDEX(Scherpenzeel!$E$4:$E$103,MATCH($A32,Scherpenzeel!$C$4:$C$103,0)),"")&lt;&gt;"",IFERROR(INDEX(Scherpenzeel!$E$4:$E$103,MATCH($A32,Scherpenzeel!$C$4:$C$103,0)),""),IF(IFERROR(INDEX('4'!$E$4:$E$103,MATCH($A32,'4'!$C$4:$C$103,0)),"")&lt;&gt;"",IFERROR(INDEX('4'!$E$4:$E$103,MATCH($A32,'4'!$C$4:$C$103,0)),""),IFERROR(INDEX('5'!$E$4:$E$103,MATCH($A32,'5'!$C$4:$C$103,0)),""))))))</f>
        <v>Junior (U19)</v>
      </c>
      <c r="D32" s="24" t="str">
        <f>IF($A32="","",IFERROR(INDEX(Barneveld!$A$4:$A$36,MATCH($A32,Barneveld!$C$4:$C$36,0)),""))</f>
        <v/>
      </c>
      <c r="E32" s="15">
        <f>IF($A32="",0,IFERROR(INDEX(Barneveld!$H$4:$H$36,MATCH($A32,Barneveld!$C$4:$C$36,0)),0))</f>
        <v>0</v>
      </c>
      <c r="F32" s="24" t="str">
        <f>IF($A32="","",IFERROR(INDEX(Baarn!$A$4:$A$38,MATCH($A32,Baarn!$C$4:$C$38,0)),""))</f>
        <v/>
      </c>
      <c r="G32" s="15">
        <f>IF($A32="",0,IFERROR(INDEX(Baarn!$I$4:$I$38,MATCH($A32,Baarn!$C$4:$C$38,0)),0))</f>
        <v>0</v>
      </c>
      <c r="H32" s="24" t="str">
        <f>IF($A32="","",IFERROR(INDEX(Scherpenzeel!$A$4:$A$103,MATCH($A32,Scherpenzeel!$C$4:$C$103,0)),""))</f>
        <v>12</v>
      </c>
      <c r="I32" s="15">
        <v>47</v>
      </c>
      <c r="J32" s="24" t="str">
        <f>IF($A32="","",IFERROR(INDEX('4'!$A$4:$A$103,MATCH($A32,'4'!$C$4:$C$103,0)),""))</f>
        <v/>
      </c>
      <c r="K32" s="15">
        <f>IF($A32="",0,IFERROR(INDEX('4'!$I$4:$I$103,MATCH($A32,'4'!$C$4:$C$103,0)),0))</f>
        <v>0</v>
      </c>
      <c r="L32" s="24" t="str">
        <f>IF($A32="","",IFERROR(INDEX('5'!$A$4:$A$103,MATCH($A32,'5'!$C$4:$C$103,0)),""))</f>
        <v/>
      </c>
      <c r="M32" s="15">
        <f>IF($A32="",0,IFERROR(INDEX('5'!$I$4:$I$103,MATCH($A32,'5'!$C$4:$C$103,0)),0))</f>
        <v>0</v>
      </c>
      <c r="N32" s="25">
        <f>IF($A32="","",E32+G32+I32+K32+M32)</f>
        <v>47</v>
      </c>
      <c r="O32" s="26">
        <f>IF(OR($A32="",N32="",N32=0),"",RANK(N32,$N$4:$N$203,0))</f>
        <v>29</v>
      </c>
      <c r="AA32">
        <f>Barneveld!C35</f>
        <v>0</v>
      </c>
      <c r="AB32">
        <f>IF(AA32="",0,IF(COUNTIF($AA$1:AA32,AA32)=1,1,0))</f>
        <v>1</v>
      </c>
      <c r="AC32">
        <f>IF(AB32=1,COUNTIF($AB$1:AB32,1),"")</f>
        <v>32</v>
      </c>
    </row>
    <row r="33" spans="1:29" x14ac:dyDescent="0.25">
      <c r="A33" s="13" t="str">
        <f>IFERROR(INDEX($AA$1:$AA$368,MATCH(13,$AC$1:$AC$368,0)),"")</f>
        <v>Egon Nanninga</v>
      </c>
      <c r="B33" s="13" t="str">
        <f>IF($A33="","",IF(IFERROR(INDEX(Barneveld!$E$4:$E$36,MATCH($A33,Barneveld!$C$4:$C$36,0)),"")&lt;&gt;"",IFERROR(INDEX(Barneveld!$E$4:$E$36,MATCH($A33,Barneveld!$C$4:$C$36,0)),""),IF(IFERROR(INDEX(Baarn!$F$4:$F$38,MATCH($A33,Baarn!$C$4:$C$38,0)),"")&lt;&gt;"",IFERROR(INDEX(Baarn!$F$4:$F$38,MATCH($A33,Baarn!$C$4:$C$38,0)),""),IF(IFERROR(INDEX(Scherpenzeel!$F$4:$F$103,MATCH($A33,Scherpenzeel!$C$4:$C$103,0)),"")&lt;&gt;"",IFERROR(INDEX(Scherpenzeel!$F$4:$F$103,MATCH($A33,Scherpenzeel!$C$4:$C$103,0)),""),IF(IFERROR(INDEX('4'!$F$4:$F$103,MATCH($A33,'4'!$C$4:$C$103,0)),"")&lt;&gt;"",IFERROR(INDEX('4'!$F$4:$F$103,MATCH($A33,'4'!$C$4:$C$103,0)),""),IFERROR(INDEX('5'!$F$4:$F$103,MATCH($A33,'5'!$C$4:$C$103,0)),""))))))</f>
        <v/>
      </c>
      <c r="C33" s="13" t="str">
        <f>IF($A33="","",IF(IFERROR(INDEX(Barneveld!$D$4:$D$36,MATCH($A33,Barneveld!$C$4:$C$36,0)),"")&lt;&gt;"",IFERROR(INDEX(Barneveld!$D$4:$D$36,MATCH($A33,Barneveld!$C$4:$C$36,0)),""),IF(IFERROR(INDEX(Baarn!$E$4:$E$38,MATCH($A33,Baarn!$C$4:$C$38,0)),"")&lt;&gt;"",IFERROR(INDEX(Baarn!$E$4:$E$38,MATCH($A33,Baarn!$C$4:$C$38,0)),""),IF(IFERROR(INDEX(Scherpenzeel!$E$4:$E$103,MATCH($A33,Scherpenzeel!$C$4:$C$103,0)),"")&lt;&gt;"",IFERROR(INDEX(Scherpenzeel!$E$4:$E$103,MATCH($A33,Scherpenzeel!$C$4:$C$103,0)),""),IF(IFERROR(INDEX('4'!$E$4:$E$103,MATCH($A33,'4'!$C$4:$C$103,0)),"")&lt;&gt;"",IFERROR(INDEX('4'!$E$4:$E$103,MATCH($A33,'4'!$C$4:$C$103,0)),""),IFERROR(INDEX('5'!$E$4:$E$103,MATCH($A33,'5'!$C$4:$C$103,0)),""))))))</f>
        <v>KNWU Licentie (Plus)</v>
      </c>
      <c r="D33" s="24">
        <f>IF($A33="","",IFERROR(INDEX(Barneveld!$A$4:$A$36,MATCH($A33,Barneveld!$C$4:$C$36,0)),""))</f>
        <v>13</v>
      </c>
      <c r="E33" s="15">
        <f>IF($A33="",0,IFERROR(INDEX(Barneveld!$H$4:$H$36,MATCH($A33,Barneveld!$C$4:$C$36,0)),0))</f>
        <v>44</v>
      </c>
      <c r="F33" s="24" t="str">
        <f>IF($A33="","",IFERROR(INDEX(Baarn!$A$4:$A$38,MATCH($A33,Baarn!$C$4:$C$38,0)),""))</f>
        <v/>
      </c>
      <c r="G33" s="15">
        <f>IF($A33="",0,IFERROR(INDEX(Baarn!$I$4:$I$38,MATCH($A33,Baarn!$C$4:$C$38,0)),0))</f>
        <v>0</v>
      </c>
      <c r="H33" s="24" t="str">
        <f>IF($A33="","",IFERROR(INDEX(Scherpenzeel!$A$4:$A$103,MATCH($A33,Scherpenzeel!$C$4:$C$103,0)),""))</f>
        <v/>
      </c>
      <c r="I33" s="15">
        <f>IF($A33="",0,IFERROR(INDEX(Scherpenzeel!$I$4:$I$103,MATCH($A33,Scherpenzeel!$C$4:$C$103,0)),0))</f>
        <v>0</v>
      </c>
      <c r="J33" s="24" t="str">
        <f>IF($A33="","",IFERROR(INDEX('4'!$A$4:$A$103,MATCH($A33,'4'!$C$4:$C$103,0)),""))</f>
        <v/>
      </c>
      <c r="K33" s="15">
        <f>IF($A33="",0,IFERROR(INDEX('4'!$I$4:$I$103,MATCH($A33,'4'!$C$4:$C$103,0)),0))</f>
        <v>0</v>
      </c>
      <c r="L33" s="24" t="str">
        <f>IF($A33="","",IFERROR(INDEX('5'!$A$4:$A$103,MATCH($A33,'5'!$C$4:$C$103,0)),""))</f>
        <v/>
      </c>
      <c r="M33" s="15">
        <f>IF($A33="",0,IFERROR(INDEX('5'!$I$4:$I$103,MATCH($A33,'5'!$C$4:$C$103,0)),0))</f>
        <v>0</v>
      </c>
      <c r="N33" s="25">
        <f>IF($A33="","",E33+G33+I33+K33+M33)</f>
        <v>44</v>
      </c>
      <c r="O33" s="26">
        <f>IF(OR($A33="",N33="",N33=0),"",RANK(N33,$N$4:$N$203,0))</f>
        <v>30</v>
      </c>
      <c r="AA33">
        <f>Barneveld!C36</f>
        <v>0</v>
      </c>
      <c r="AB33">
        <f>IF(AA33="",0,IF(COUNTIF($AA$1:AA33,AA33)=1,1,0))</f>
        <v>0</v>
      </c>
      <c r="AC33" t="str">
        <f>IF(AB33=1,COUNTIF($AB$1:AB33,1),"")</f>
        <v/>
      </c>
    </row>
    <row r="34" spans="1:29" x14ac:dyDescent="0.25">
      <c r="A34" s="13" t="str">
        <f>IFERROR(INDEX($AA$1:$AA$368,MATCH(40,$AC$1:$AC$368,0)),"")</f>
        <v>Ole Niesing</v>
      </c>
      <c r="B34" s="13" t="str">
        <f>IF($A34="","",IF(IFERROR(INDEX(Barneveld!$E$4:$E$36,MATCH($A34,Barneveld!$C$4:$C$36,0)),"")&lt;&gt;"",IFERROR(INDEX(Barneveld!$E$4:$E$36,MATCH($A34,Barneveld!$C$4:$C$36,0)),""),IF(IFERROR(INDEX(Baarn!$F$4:$F$38,MATCH($A34,Baarn!$C$4:$C$38,0)),"")&lt;&gt;"",IFERROR(INDEX(Baarn!$F$4:$F$38,MATCH($A34,Baarn!$C$4:$C$38,0)),""),IF(IFERROR(INDEX(Scherpenzeel!$F$4:$F$103,MATCH($A34,Scherpenzeel!$C$4:$C$103,0)),"")&lt;&gt;"",IFERROR(INDEX(Scherpenzeel!$F$4:$F$103,MATCH($A34,Scherpenzeel!$C$4:$C$103,0)),""),IF(IFERROR(INDEX('4'!$F$4:$F$103,MATCH($A34,'4'!$C$4:$C$103,0)),"")&lt;&gt;"",IFERROR(INDEX('4'!$F$4:$F$103,MATCH($A34,'4'!$C$4:$C$103,0)),""),IFERROR(INDEX('5'!$F$4:$F$103,MATCH($A34,'5'!$C$4:$C$103,0)),""))))))</f>
        <v>GWC de Adelaar</v>
      </c>
      <c r="C34" s="13" t="str">
        <f>IF($A34="","",IF(IFERROR(INDEX(Barneveld!$D$4:$D$36,MATCH($A34,Barneveld!$C$4:$C$36,0)),"")&lt;&gt;"",IFERROR(INDEX(Barneveld!$D$4:$D$36,MATCH($A34,Barneveld!$C$4:$C$36,0)),""),IF(IFERROR(INDEX(Baarn!$E$4:$E$38,MATCH($A34,Baarn!$C$4:$C$38,0)),"")&lt;&gt;"",IFERROR(INDEX(Baarn!$E$4:$E$38,MATCH($A34,Baarn!$C$4:$C$38,0)),""),IF(IFERROR(INDEX(Scherpenzeel!$E$4:$E$103,MATCH($A34,Scherpenzeel!$C$4:$C$103,0)),"")&lt;&gt;"",IFERROR(INDEX(Scherpenzeel!$E$4:$E$103,MATCH($A34,Scherpenzeel!$C$4:$C$103,0)),""),IF(IFERROR(INDEX('4'!$E$4:$E$103,MATCH($A34,'4'!$C$4:$C$103,0)),"")&lt;&gt;"",IFERROR(INDEX('4'!$E$4:$E$103,MATCH($A34,'4'!$C$4:$C$103,0)),""),IFERROR(INDEX('5'!$E$4:$E$103,MATCH($A34,'5'!$C$4:$C$103,0)),""))))))</f>
        <v>Junior (U19)</v>
      </c>
      <c r="D34" s="24" t="str">
        <f>IF($A34="","",IFERROR(INDEX(Barneveld!$A$4:$A$36,MATCH($A34,Barneveld!$C$4:$C$36,0)),""))</f>
        <v/>
      </c>
      <c r="E34" s="15">
        <f>IF($A34="",0,IFERROR(INDEX(Barneveld!$H$4:$H$36,MATCH($A34,Barneveld!$C$4:$C$36,0)),0))</f>
        <v>0</v>
      </c>
      <c r="F34" s="24">
        <f>IF($A34="","",IFERROR(INDEX(Baarn!$A$4:$A$38,MATCH($A34,Baarn!$C$4:$C$38,0)),""))</f>
        <v>14</v>
      </c>
      <c r="G34" s="15">
        <f>IF($A34="",0,IFERROR(INDEX(Baarn!$I$4:$I$38,MATCH($A34,Baarn!$C$4:$C$38,0)),0))</f>
        <v>41</v>
      </c>
      <c r="H34" s="24" t="str">
        <f>IF($A34="","",IFERROR(INDEX(Scherpenzeel!$A$4:$A$103,MATCH($A34,Scherpenzeel!$C$4:$C$103,0)),""))</f>
        <v/>
      </c>
      <c r="I34" s="15">
        <f>IF($A34="",0,IFERROR(INDEX(Scherpenzeel!$I$4:$I$103,MATCH($A34,Scherpenzeel!$C$4:$C$103,0)),0))</f>
        <v>0</v>
      </c>
      <c r="J34" s="24" t="str">
        <f>IF($A34="","",IFERROR(INDEX('4'!$A$4:$A$103,MATCH($A34,'4'!$C$4:$C$103,0)),""))</f>
        <v/>
      </c>
      <c r="K34" s="15">
        <f>IF($A34="",0,IFERROR(INDEX('4'!$I$4:$I$103,MATCH($A34,'4'!$C$4:$C$103,0)),0))</f>
        <v>0</v>
      </c>
      <c r="L34" s="24" t="str">
        <f>IF($A34="","",IFERROR(INDEX('5'!$A$4:$A$103,MATCH($A34,'5'!$C$4:$C$103,0)),""))</f>
        <v/>
      </c>
      <c r="M34" s="15">
        <f>IF($A34="",0,IFERROR(INDEX('5'!$I$4:$I$103,MATCH($A34,'5'!$C$4:$C$103,0)),0))</f>
        <v>0</v>
      </c>
      <c r="N34" s="25">
        <f>IF($A34="","",E34+G34+I34+K34+M34)</f>
        <v>41</v>
      </c>
      <c r="O34" s="26">
        <f>IF(OR($A34="",N34="",N34=0),"",RANK(N34,$N$4:$N$203,0))</f>
        <v>31</v>
      </c>
      <c r="AA34" t="str">
        <f>Baarn!C4</f>
        <v>Florijn van der Vliet</v>
      </c>
      <c r="AB34">
        <f>IF(AA34="",0,IF(COUNTIF($AA$1:AA34,AA34)=1,1,0))</f>
        <v>1</v>
      </c>
      <c r="AC34">
        <f>IF(AB34=1,COUNTIF($AB$1:AB34,1),"")</f>
        <v>33</v>
      </c>
    </row>
    <row r="35" spans="1:29" x14ac:dyDescent="0.25">
      <c r="A35" s="13" t="str">
        <f>IFERROR(INDEX($AA$1:$AA$368,MATCH(26,$AC$1:$AC$368,0)),"")</f>
        <v>Ron Bol</v>
      </c>
      <c r="B35" s="13" t="str">
        <f>IF($A35="","",IF(IFERROR(INDEX(Barneveld!$E$4:$E$36,MATCH($A35,Barneveld!$C$4:$C$36,0)),"")&lt;&gt;"",IFERROR(INDEX(Barneveld!$E$4:$E$36,MATCH($A35,Barneveld!$C$4:$C$36,0)),""),IF(IFERROR(INDEX(Baarn!$F$4:$F$38,MATCH($A35,Baarn!$C$4:$C$38,0)),"")&lt;&gt;"",IFERROR(INDEX(Baarn!$F$4:$F$38,MATCH($A35,Baarn!$C$4:$C$38,0)),""),IF(IFERROR(INDEX(Scherpenzeel!$F$4:$F$103,MATCH($A35,Scherpenzeel!$C$4:$C$103,0)),"")&lt;&gt;"",IFERROR(INDEX(Scherpenzeel!$F$4:$F$103,MATCH($A35,Scherpenzeel!$C$4:$C$103,0)),""),IF(IFERROR(INDEX('4'!$F$4:$F$103,MATCH($A35,'4'!$C$4:$C$103,0)),"")&lt;&gt;"",IFERROR(INDEX('4'!$F$4:$F$103,MATCH($A35,'4'!$C$4:$C$103,0)),""),IFERROR(INDEX('5'!$F$4:$F$103,MATCH($A35,'5'!$C$4:$C$103,0)),""))))))</f>
        <v>Team DFM</v>
      </c>
      <c r="C35" s="13" t="str">
        <f>IF($A35="","",IF(IFERROR(INDEX(Barneveld!$D$4:$D$36,MATCH($A35,Barneveld!$C$4:$C$36,0)),"")&lt;&gt;"",IFERROR(INDEX(Barneveld!$D$4:$D$36,MATCH($A35,Barneveld!$C$4:$C$36,0)),""),IF(IFERROR(INDEX(Baarn!$E$4:$E$38,MATCH($A35,Baarn!$C$4:$C$38,0)),"")&lt;&gt;"",IFERROR(INDEX(Baarn!$E$4:$E$38,MATCH($A35,Baarn!$C$4:$C$38,0)),""),IF(IFERROR(INDEX(Scherpenzeel!$E$4:$E$103,MATCH($A35,Scherpenzeel!$C$4:$C$103,0)),"")&lt;&gt;"",IFERROR(INDEX(Scherpenzeel!$E$4:$E$103,MATCH($A35,Scherpenzeel!$C$4:$C$103,0)),""),IF(IFERROR(INDEX('4'!$E$4:$E$103,MATCH($A35,'4'!$C$4:$C$103,0)),"")&lt;&gt;"",IFERROR(INDEX('4'!$E$4:$E$103,MATCH($A35,'4'!$C$4:$C$103,0)),""),IFERROR(INDEX('5'!$E$4:$E$103,MATCH($A35,'5'!$C$4:$C$103,0)),""))))))</f>
        <v>KNWU Licentie (Plus)</v>
      </c>
      <c r="D35" s="24">
        <f>IF($A35="","",IFERROR(INDEX(Barneveld!$A$4:$A$36,MATCH($A35,Barneveld!$C$4:$C$36,0)),""))</f>
        <v>26</v>
      </c>
      <c r="E35" s="15">
        <f>IF($A35="",0,IFERROR(INDEX(Barneveld!$H$4:$H$36,MATCH($A35,Barneveld!$C$4:$C$36,0)),0))</f>
        <v>10</v>
      </c>
      <c r="F35" s="24">
        <f>IF($A35="","",IFERROR(INDEX(Baarn!$A$4:$A$38,MATCH($A35,Baarn!$C$4:$C$38,0)),""))</f>
        <v>18</v>
      </c>
      <c r="G35" s="15">
        <f>IF($A35="",0,IFERROR(INDEX(Baarn!$I$4:$I$38,MATCH($A35,Baarn!$C$4:$C$38,0)),0))</f>
        <v>29</v>
      </c>
      <c r="H35" s="24" t="str">
        <f>IF($A35="","",IFERROR(INDEX(Scherpenzeel!$A$4:$A$103,MATCH($A35,Scherpenzeel!$C$4:$C$103,0)),""))</f>
        <v/>
      </c>
      <c r="I35" s="15">
        <f>IF($A35="",0,IFERROR(INDEX(Scherpenzeel!$I$4:$I$103,MATCH($A35,Scherpenzeel!$C$4:$C$103,0)),0))</f>
        <v>0</v>
      </c>
      <c r="J35" s="24" t="str">
        <f>IF($A35="","",IFERROR(INDEX('4'!$A$4:$A$103,MATCH($A35,'4'!$C$4:$C$103,0)),""))</f>
        <v/>
      </c>
      <c r="K35" s="15">
        <f>IF($A35="",0,IFERROR(INDEX('4'!$I$4:$I$103,MATCH($A35,'4'!$C$4:$C$103,0)),0))</f>
        <v>0</v>
      </c>
      <c r="L35" s="24" t="str">
        <f>IF($A35="","",IFERROR(INDEX('5'!$A$4:$A$103,MATCH($A35,'5'!$C$4:$C$103,0)),""))</f>
        <v/>
      </c>
      <c r="M35" s="15">
        <f>IF($A35="",0,IFERROR(INDEX('5'!$I$4:$I$103,MATCH($A35,'5'!$C$4:$C$103,0)),0))</f>
        <v>0</v>
      </c>
      <c r="N35" s="25">
        <f>IF($A35="","",E35+G35+I35+K35+M35)</f>
        <v>39</v>
      </c>
      <c r="O35" s="26">
        <f>IF(OR($A35="",N35="",N35=0),"",RANK(N35,$N$4:$N$203,0))</f>
        <v>32</v>
      </c>
      <c r="AA35" t="str">
        <f>Baarn!C5</f>
        <v>Niek Bos</v>
      </c>
      <c r="AB35">
        <f>IF(AA35="",0,IF(COUNTIF($AA$1:AA35,AA35)=1,1,0))</f>
        <v>1</v>
      </c>
      <c r="AC35">
        <f>IF(AB35=1,COUNTIF($AB$1:AB35,1),"")</f>
        <v>34</v>
      </c>
    </row>
    <row r="36" spans="1:29" x14ac:dyDescent="0.25">
      <c r="A36" s="13" t="str">
        <f>IFERROR(INDEX($AA$1:$AA$368,MATCH(41,$AC$1:$AC$368,0)),"")</f>
        <v>Freek Valkonet</v>
      </c>
      <c r="B36" s="13" t="str">
        <f>IF($A36="","",IF(IFERROR(INDEX(Barneveld!$E$4:$E$36,MATCH($A36,Barneveld!$C$4:$C$36,0)),"")&lt;&gt;"",IFERROR(INDEX(Barneveld!$E$4:$E$36,MATCH($A36,Barneveld!$C$4:$C$36,0)),""),IF(IFERROR(INDEX(Baarn!$F$4:$F$38,MATCH($A36,Baarn!$C$4:$C$38,0)),"")&lt;&gt;"",IFERROR(INDEX(Baarn!$F$4:$F$38,MATCH($A36,Baarn!$C$4:$C$38,0)),""),IF(IFERROR(INDEX(Scherpenzeel!$F$4:$F$103,MATCH($A36,Scherpenzeel!$C$4:$C$103,0)),"")&lt;&gt;"",IFERROR(INDEX(Scherpenzeel!$F$4:$F$103,MATCH($A36,Scherpenzeel!$C$4:$C$103,0)),""),IF(IFERROR(INDEX('4'!$F$4:$F$103,MATCH($A36,'4'!$C$4:$C$103,0)),"")&lt;&gt;"",IFERROR(INDEX('4'!$F$4:$F$103,MATCH($A36,'4'!$C$4:$C$103,0)),""),IFERROR(INDEX('5'!$F$4:$F$103,MATCH($A36,'5'!$C$4:$C$103,0)),""))))))</f>
        <v>GWC de Adelaar</v>
      </c>
      <c r="C36" s="13" t="str">
        <f>IF($A36="","",IF(IFERROR(INDEX(Barneveld!$D$4:$D$36,MATCH($A36,Barneveld!$C$4:$C$36,0)),"")&lt;&gt;"",IFERROR(INDEX(Barneveld!$D$4:$D$36,MATCH($A36,Barneveld!$C$4:$C$36,0)),""),IF(IFERROR(INDEX(Baarn!$E$4:$E$38,MATCH($A36,Baarn!$C$4:$C$38,0)),"")&lt;&gt;"",IFERROR(INDEX(Baarn!$E$4:$E$38,MATCH($A36,Baarn!$C$4:$C$38,0)),""),IF(IFERROR(INDEX(Scherpenzeel!$E$4:$E$103,MATCH($A36,Scherpenzeel!$C$4:$C$103,0)),"")&lt;&gt;"",IFERROR(INDEX(Scherpenzeel!$E$4:$E$103,MATCH($A36,Scherpenzeel!$C$4:$C$103,0)),""),IF(IFERROR(INDEX('4'!$E$4:$E$103,MATCH($A36,'4'!$C$4:$C$103,0)),"")&lt;&gt;"",IFERROR(INDEX('4'!$E$4:$E$103,MATCH($A36,'4'!$C$4:$C$103,0)),""),IFERROR(INDEX('5'!$E$4:$E$103,MATCH($A36,'5'!$C$4:$C$103,0)),""))))))</f>
        <v>Junior (U19)</v>
      </c>
      <c r="D36" s="24" t="str">
        <f>IF($A36="","",IFERROR(INDEX(Barneveld!$A$4:$A$36,MATCH($A36,Barneveld!$C$4:$C$36,0)),""))</f>
        <v/>
      </c>
      <c r="E36" s="15">
        <f>IF($A36="",0,IFERROR(INDEX(Barneveld!$H$4:$H$36,MATCH($A36,Barneveld!$C$4:$C$36,0)),0))</f>
        <v>0</v>
      </c>
      <c r="F36" s="24">
        <f>IF($A36="","",IFERROR(INDEX(Baarn!$A$4:$A$38,MATCH($A36,Baarn!$C$4:$C$38,0)),""))</f>
        <v>16</v>
      </c>
      <c r="G36" s="15">
        <f>IF($A36="",0,IFERROR(INDEX(Baarn!$I$4:$I$38,MATCH($A36,Baarn!$C$4:$C$38,0)),0))</f>
        <v>35</v>
      </c>
      <c r="H36" s="24" t="str">
        <f>IF($A36="","",IFERROR(INDEX(Scherpenzeel!$A$4:$A$103,MATCH($A36,Scherpenzeel!$C$4:$C$103,0)),""))</f>
        <v>DNF</v>
      </c>
      <c r="I36" s="15">
        <f>IF($A36="",0,IFERROR(INDEX(Scherpenzeel!$I$4:$I$103,MATCH($A36,Scherpenzeel!$C$4:$C$103,0)),0))</f>
        <v>1</v>
      </c>
      <c r="J36" s="24" t="str">
        <f>IF($A36="","",IFERROR(INDEX('4'!$A$4:$A$103,MATCH($A36,'4'!$C$4:$C$103,0)),""))</f>
        <v/>
      </c>
      <c r="K36" s="15">
        <f>IF($A36="",0,IFERROR(INDEX('4'!$I$4:$I$103,MATCH($A36,'4'!$C$4:$C$103,0)),0))</f>
        <v>0</v>
      </c>
      <c r="L36" s="24" t="str">
        <f>IF($A36="","",IFERROR(INDEX('5'!$A$4:$A$103,MATCH($A36,'5'!$C$4:$C$103,0)),""))</f>
        <v/>
      </c>
      <c r="M36" s="15">
        <f>IF($A36="",0,IFERROR(INDEX('5'!$I$4:$I$103,MATCH($A36,'5'!$C$4:$C$103,0)),0))</f>
        <v>0</v>
      </c>
      <c r="N36" s="25">
        <f>IF($A36="","",E36+G36+I36+K36+M36)</f>
        <v>36</v>
      </c>
      <c r="O36" s="26">
        <f>IF(OR($A36="",N36="",N36=0),"",RANK(N36,$N$4:$N$203,0))</f>
        <v>33</v>
      </c>
      <c r="AA36" t="str">
        <f>Baarn!C6</f>
        <v>Daan Switters</v>
      </c>
      <c r="AB36">
        <f>IF(AA36="",0,IF(COUNTIF($AA$1:AA36,AA36)=1,1,0))</f>
        <v>0</v>
      </c>
      <c r="AC36" t="str">
        <f>IF(AB36=1,COUNTIF($AB$1:AB36,1),"")</f>
        <v/>
      </c>
    </row>
    <row r="37" spans="1:29" x14ac:dyDescent="0.25">
      <c r="A37" s="13" t="str">
        <f>IFERROR(INDEX($AA$1:$AA$368,MATCH(51,$AC$1:$AC$368,0)),"")</f>
        <v>Stefan Appelman</v>
      </c>
      <c r="B37" s="13" t="str">
        <f>IF($A37="","",IF(IFERROR(INDEX(Barneveld!$E$4:$E$36,MATCH($A37,Barneveld!$C$4:$C$36,0)),"")&lt;&gt;"",IFERROR(INDEX(Barneveld!$E$4:$E$36,MATCH($A37,Barneveld!$C$4:$C$36,0)),""),IF(IFERROR(INDEX(Baarn!$F$4:$F$38,MATCH($A37,Baarn!$C$4:$C$38,0)),"")&lt;&gt;"",IFERROR(INDEX(Baarn!$F$4:$F$38,MATCH($A37,Baarn!$C$4:$C$38,0)),""),IF(IFERROR(INDEX(Scherpenzeel!$F$4:$F$103,MATCH($A37,Scherpenzeel!$C$4:$C$103,0)),"")&lt;&gt;"",IFERROR(INDEX(Scherpenzeel!$F$4:$F$103,MATCH($A37,Scherpenzeel!$C$4:$C$103,0)),""),IF(IFERROR(INDEX('4'!$F$4:$F$103,MATCH($A37,'4'!$C$4:$C$103,0)),"")&lt;&gt;"",IFERROR(INDEX('4'!$F$4:$F$103,MATCH($A37,'4'!$C$4:$C$103,0)),""),IFERROR(INDEX('5'!$F$4:$F$103,MATCH($A37,'5'!$C$4:$C$103,0)),""))))))</f>
        <v>BRC Kennemerland</v>
      </c>
      <c r="C37" s="13" t="str">
        <f>IF($A37="","",IF(IFERROR(INDEX(Barneveld!$D$4:$D$36,MATCH($A37,Barneveld!$C$4:$C$36,0)),"")&lt;&gt;"",IFERROR(INDEX(Barneveld!$D$4:$D$36,MATCH($A37,Barneveld!$C$4:$C$36,0)),""),IF(IFERROR(INDEX(Baarn!$E$4:$E$38,MATCH($A37,Baarn!$C$4:$C$38,0)),"")&lt;&gt;"",IFERROR(INDEX(Baarn!$E$4:$E$38,MATCH($A37,Baarn!$C$4:$C$38,0)),""),IF(IFERROR(INDEX(Scherpenzeel!$E$4:$E$103,MATCH($A37,Scherpenzeel!$C$4:$C$103,0)),"")&lt;&gt;"",IFERROR(INDEX(Scherpenzeel!$E$4:$E$103,MATCH($A37,Scherpenzeel!$C$4:$C$103,0)),""),IF(IFERROR(INDEX('4'!$E$4:$E$103,MATCH($A37,'4'!$C$4:$C$103,0)),"")&lt;&gt;"",IFERROR(INDEX('4'!$E$4:$E$103,MATCH($A37,'4'!$C$4:$C$103,0)),""),IFERROR(INDEX('5'!$E$4:$E$103,MATCH($A37,'5'!$C$4:$C$103,0)),""))))))</f>
        <v>KNWU Licentie (Plus)</v>
      </c>
      <c r="D37" s="24" t="str">
        <f>IF($A37="","",IFERROR(INDEX(Barneveld!$A$4:$A$36,MATCH($A37,Barneveld!$C$4:$C$36,0)),""))</f>
        <v/>
      </c>
      <c r="E37" s="15">
        <f>IF($A37="",0,IFERROR(INDEX(Barneveld!$H$4:$H$36,MATCH($A37,Barneveld!$C$4:$C$36,0)),0))</f>
        <v>0</v>
      </c>
      <c r="F37" s="24" t="str">
        <f>IF($A37="","",IFERROR(INDEX(Baarn!$A$4:$A$38,MATCH($A37,Baarn!$C$4:$C$38,0)),""))</f>
        <v/>
      </c>
      <c r="G37" s="15">
        <f>IF($A37="",0,IFERROR(INDEX(Baarn!$I$4:$I$38,MATCH($A37,Baarn!$C$4:$C$38,0)),0))</f>
        <v>0</v>
      </c>
      <c r="H37" s="24" t="str">
        <f>IF($A37="","",IFERROR(INDEX(Scherpenzeel!$A$4:$A$103,MATCH($A37,Scherpenzeel!$C$4:$C$103,0)),""))</f>
        <v>16</v>
      </c>
      <c r="I37" s="15">
        <v>35</v>
      </c>
      <c r="J37" s="24" t="str">
        <f>IF($A37="","",IFERROR(INDEX('4'!$A$4:$A$103,MATCH($A37,'4'!$C$4:$C$103,0)),""))</f>
        <v/>
      </c>
      <c r="K37" s="15">
        <f>IF($A37="",0,IFERROR(INDEX('4'!$I$4:$I$103,MATCH($A37,'4'!$C$4:$C$103,0)),0))</f>
        <v>0</v>
      </c>
      <c r="L37" s="24" t="str">
        <f>IF($A37="","",IFERROR(INDEX('5'!$A$4:$A$103,MATCH($A37,'5'!$C$4:$C$103,0)),""))</f>
        <v/>
      </c>
      <c r="M37" s="15">
        <f>IF($A37="",0,IFERROR(INDEX('5'!$I$4:$I$103,MATCH($A37,'5'!$C$4:$C$103,0)),0))</f>
        <v>0</v>
      </c>
      <c r="N37" s="25">
        <f>IF($A37="","",E37+G37+I37+K37+M37)</f>
        <v>35</v>
      </c>
      <c r="O37" s="26">
        <f>IF(OR($A37="",N37="",N37=0),"",RANK(N37,$N$4:$N$203,0))</f>
        <v>34</v>
      </c>
      <c r="AA37" t="str">
        <f>Baarn!C7</f>
        <v>Roel de Vries</v>
      </c>
      <c r="AB37">
        <f>IF(AA37="",0,IF(COUNTIF($AA$1:AA37,AA37)=1,1,0))</f>
        <v>1</v>
      </c>
      <c r="AC37">
        <f>IF(AB37=1,COUNTIF($AB$1:AB37,1),"")</f>
        <v>35</v>
      </c>
    </row>
    <row r="38" spans="1:29" x14ac:dyDescent="0.25">
      <c r="A38" s="13" t="str">
        <f>IFERROR(INDEX($AA$1:$AA$368,MATCH(17,$AC$1:$AC$368,0)),"")</f>
        <v>Peter Res</v>
      </c>
      <c r="B38" s="13" t="str">
        <f>IF($A38="","",IF(IFERROR(INDEX(Barneveld!$E$4:$E$36,MATCH($A38,Barneveld!$C$4:$C$36,0)),"")&lt;&gt;"",IFERROR(INDEX(Barneveld!$E$4:$E$36,MATCH($A38,Barneveld!$C$4:$C$36,0)),""),IF(IFERROR(INDEX(Baarn!$F$4:$F$38,MATCH($A38,Baarn!$C$4:$C$38,0)),"")&lt;&gt;"",IFERROR(INDEX(Baarn!$F$4:$F$38,MATCH($A38,Baarn!$C$4:$C$38,0)),""),IF(IFERROR(INDEX(Scherpenzeel!$F$4:$F$103,MATCH($A38,Scherpenzeel!$C$4:$C$103,0)),"")&lt;&gt;"",IFERROR(INDEX(Scherpenzeel!$F$4:$F$103,MATCH($A38,Scherpenzeel!$C$4:$C$103,0)),""),IF(IFERROR(INDEX('4'!$F$4:$F$103,MATCH($A38,'4'!$C$4:$C$103,0)),"")&lt;&gt;"",IFERROR(INDEX('4'!$F$4:$F$103,MATCH($A38,'4'!$C$4:$C$103,0)),""),IFERROR(INDEX('5'!$F$4:$F$103,MATCH($A38,'5'!$C$4:$C$103,0)),""))))))</f>
        <v/>
      </c>
      <c r="C38" s="13" t="str">
        <f>IF($A38="","",IF(IFERROR(INDEX(Barneveld!$D$4:$D$36,MATCH($A38,Barneveld!$C$4:$C$36,0)),"")&lt;&gt;"",IFERROR(INDEX(Barneveld!$D$4:$D$36,MATCH($A38,Barneveld!$C$4:$C$36,0)),""),IF(IFERROR(INDEX(Baarn!$E$4:$E$38,MATCH($A38,Baarn!$C$4:$C$38,0)),"")&lt;&gt;"",IFERROR(INDEX(Baarn!$E$4:$E$38,MATCH($A38,Baarn!$C$4:$C$38,0)),""),IF(IFERROR(INDEX(Scherpenzeel!$E$4:$E$103,MATCH($A38,Scherpenzeel!$C$4:$C$103,0)),"")&lt;&gt;"",IFERROR(INDEX(Scherpenzeel!$E$4:$E$103,MATCH($A38,Scherpenzeel!$C$4:$C$103,0)),""),IF(IFERROR(INDEX('4'!$E$4:$E$103,MATCH($A38,'4'!$C$4:$C$103,0)),"")&lt;&gt;"",IFERROR(INDEX('4'!$E$4:$E$103,MATCH($A38,'4'!$C$4:$C$103,0)),""),IFERROR(INDEX('5'!$E$4:$E$103,MATCH($A38,'5'!$C$4:$C$103,0)),""))))))</f>
        <v>KNWU Licentie (Plus)</v>
      </c>
      <c r="D38" s="24">
        <f>IF($A38="","",IFERROR(INDEX(Barneveld!$A$4:$A$36,MATCH($A38,Barneveld!$C$4:$C$36,0)),""))</f>
        <v>17</v>
      </c>
      <c r="E38" s="15">
        <f>IF($A38="",0,IFERROR(INDEX(Barneveld!$H$4:$H$36,MATCH($A38,Barneveld!$C$4:$C$36,0)),0))</f>
        <v>32</v>
      </c>
      <c r="F38" s="24" t="str">
        <f>IF($A38="","",IFERROR(INDEX(Baarn!$A$4:$A$38,MATCH($A38,Baarn!$C$4:$C$38,0)),""))</f>
        <v/>
      </c>
      <c r="G38" s="15">
        <f>IF($A38="",0,IFERROR(INDEX(Baarn!$I$4:$I$38,MATCH($A38,Baarn!$C$4:$C$38,0)),0))</f>
        <v>0</v>
      </c>
      <c r="H38" s="24" t="str">
        <f>IF($A38="","",IFERROR(INDEX(Scherpenzeel!$A$4:$A$103,MATCH($A38,Scherpenzeel!$C$4:$C$103,0)),""))</f>
        <v/>
      </c>
      <c r="I38" s="15">
        <f>IF($A38="",0,IFERROR(INDEX(Scherpenzeel!$I$4:$I$103,MATCH($A38,Scherpenzeel!$C$4:$C$103,0)),0))</f>
        <v>0</v>
      </c>
      <c r="J38" s="24" t="str">
        <f>IF($A38="","",IFERROR(INDEX('4'!$A$4:$A$103,MATCH($A38,'4'!$C$4:$C$103,0)),""))</f>
        <v/>
      </c>
      <c r="K38" s="15">
        <f>IF($A38="",0,IFERROR(INDEX('4'!$I$4:$I$103,MATCH($A38,'4'!$C$4:$C$103,0)),0))</f>
        <v>0</v>
      </c>
      <c r="L38" s="24" t="str">
        <f>IF($A38="","",IFERROR(INDEX('5'!$A$4:$A$103,MATCH($A38,'5'!$C$4:$C$103,0)),""))</f>
        <v/>
      </c>
      <c r="M38" s="15">
        <f>IF($A38="",0,IFERROR(INDEX('5'!$I$4:$I$103,MATCH($A38,'5'!$C$4:$C$103,0)),0))</f>
        <v>0</v>
      </c>
      <c r="N38" s="25">
        <f>IF($A38="","",E38+G38+I38+K38+M38)</f>
        <v>32</v>
      </c>
      <c r="O38" s="26">
        <f>IF(OR($A38="",N38="",N38=0),"",RANK(N38,$N$4:$N$203,0))</f>
        <v>35</v>
      </c>
      <c r="AA38" t="str">
        <f>Baarn!C8</f>
        <v>Mitchell Huenders</v>
      </c>
      <c r="AB38">
        <f>IF(AA38="",0,IF(COUNTIF($AA$1:AA38,AA38)=1,1,0))</f>
        <v>0</v>
      </c>
      <c r="AC38" t="str">
        <f>IF(AB38=1,COUNTIF($AB$1:AB38,1),"")</f>
        <v/>
      </c>
    </row>
    <row r="39" spans="1:29" x14ac:dyDescent="0.25">
      <c r="A39" s="13" t="str">
        <f>IFERROR(INDEX($AA$1:$AA$368,MATCH(42,$AC$1:$AC$368,0)),"")</f>
        <v>Peter Jansen</v>
      </c>
      <c r="B39" s="13" t="str">
        <f>IF($A39="","",IF(IFERROR(INDEX(Barneveld!$E$4:$E$36,MATCH($A39,Barneveld!$C$4:$C$36,0)),"")&lt;&gt;"",IFERROR(INDEX(Barneveld!$E$4:$E$36,MATCH($A39,Barneveld!$C$4:$C$36,0)),""),IF(IFERROR(INDEX(Baarn!$F$4:$F$38,MATCH($A39,Baarn!$C$4:$C$38,0)),"")&lt;&gt;"",IFERROR(INDEX(Baarn!$F$4:$F$38,MATCH($A39,Baarn!$C$4:$C$38,0)),""),IF(IFERROR(INDEX(Scherpenzeel!$F$4:$F$103,MATCH($A39,Scherpenzeel!$C$4:$C$103,0)),"")&lt;&gt;"",IFERROR(INDEX(Scherpenzeel!$F$4:$F$103,MATCH($A39,Scherpenzeel!$C$4:$C$103,0)),""),IF(IFERROR(INDEX('4'!$F$4:$F$103,MATCH($A39,'4'!$C$4:$C$103,0)),"")&lt;&gt;"",IFERROR(INDEX('4'!$F$4:$F$103,MATCH($A39,'4'!$C$4:$C$103,0)),""),IFERROR(INDEX('5'!$F$4:$F$103,MATCH($A39,'5'!$C$4:$C$103,0)),""))))))</f>
        <v>USWV De Domrenner</v>
      </c>
      <c r="C39" s="13" t="str">
        <f>IF($A39="","",IF(IFERROR(INDEX(Barneveld!$D$4:$D$36,MATCH($A39,Barneveld!$C$4:$C$36,0)),"")&lt;&gt;"",IFERROR(INDEX(Barneveld!$D$4:$D$36,MATCH($A39,Barneveld!$C$4:$C$36,0)),""),IF(IFERROR(INDEX(Baarn!$E$4:$E$38,MATCH($A39,Baarn!$C$4:$C$38,0)),"")&lt;&gt;"",IFERROR(INDEX(Baarn!$E$4:$E$38,MATCH($A39,Baarn!$C$4:$C$38,0)),""),IF(IFERROR(INDEX(Scherpenzeel!$E$4:$E$103,MATCH($A39,Scherpenzeel!$C$4:$C$103,0)),"")&lt;&gt;"",IFERROR(INDEX(Scherpenzeel!$E$4:$E$103,MATCH($A39,Scherpenzeel!$C$4:$C$103,0)),""),IF(IFERROR(INDEX('4'!$E$4:$E$103,MATCH($A39,'4'!$C$4:$C$103,0)),"")&lt;&gt;"",IFERROR(INDEX('4'!$E$4:$E$103,MATCH($A39,'4'!$C$4:$C$103,0)),""),IFERROR(INDEX('5'!$E$4:$E$103,MATCH($A39,'5'!$C$4:$C$103,0)),""))))))</f>
        <v>KNWU Licentie (Plus)</v>
      </c>
      <c r="D39" s="24" t="str">
        <f>IF($A39="","",IFERROR(INDEX(Barneveld!$A$4:$A$36,MATCH($A39,Barneveld!$C$4:$C$36,0)),""))</f>
        <v/>
      </c>
      <c r="E39" s="15">
        <f>IF($A39="",0,IFERROR(INDEX(Barneveld!$H$4:$H$36,MATCH($A39,Barneveld!$C$4:$C$36,0)),0))</f>
        <v>0</v>
      </c>
      <c r="F39" s="24">
        <f>IF($A39="","",IFERROR(INDEX(Baarn!$A$4:$A$38,MATCH($A39,Baarn!$C$4:$C$38,0)),""))</f>
        <v>17</v>
      </c>
      <c r="G39" s="15">
        <f>IF($A39="",0,IFERROR(INDEX(Baarn!$I$4:$I$38,MATCH($A39,Baarn!$C$4:$C$38,0)),0))</f>
        <v>32</v>
      </c>
      <c r="H39" s="24" t="str">
        <f>IF($A39="","",IFERROR(INDEX(Scherpenzeel!$A$4:$A$103,MATCH($A39,Scherpenzeel!$C$4:$C$103,0)),""))</f>
        <v/>
      </c>
      <c r="I39" s="15">
        <f>IF($A39="",0,IFERROR(INDEX(Scherpenzeel!$I$4:$I$103,MATCH($A39,Scherpenzeel!$C$4:$C$103,0)),0))</f>
        <v>0</v>
      </c>
      <c r="J39" s="24" t="str">
        <f>IF($A39="","",IFERROR(INDEX('4'!$A$4:$A$103,MATCH($A39,'4'!$C$4:$C$103,0)),""))</f>
        <v/>
      </c>
      <c r="K39" s="15">
        <f>IF($A39="",0,IFERROR(INDEX('4'!$I$4:$I$103,MATCH($A39,'4'!$C$4:$C$103,0)),0))</f>
        <v>0</v>
      </c>
      <c r="L39" s="24" t="str">
        <f>IF($A39="","",IFERROR(INDEX('5'!$A$4:$A$103,MATCH($A39,'5'!$C$4:$C$103,0)),""))</f>
        <v/>
      </c>
      <c r="M39" s="15">
        <f>IF($A39="",0,IFERROR(INDEX('5'!$I$4:$I$103,MATCH($A39,'5'!$C$4:$C$103,0)),0))</f>
        <v>0</v>
      </c>
      <c r="N39" s="25">
        <f>IF($A39="","",E39+G39+I39+K39+M39)</f>
        <v>32</v>
      </c>
      <c r="O39" s="26">
        <f>IF(OR($A39="",N39="",N39=0),"",RANK(N39,$N$4:$N$203,0))</f>
        <v>35</v>
      </c>
      <c r="AA39" t="str">
        <f>Baarn!C9</f>
        <v>Niels Immerzeel</v>
      </c>
      <c r="AB39">
        <f>IF(AA39="",0,IF(COUNTIF($AA$1:AA39,AA39)=1,1,0))</f>
        <v>0</v>
      </c>
      <c r="AC39" t="str">
        <f>IF(AB39=1,COUNTIF($AB$1:AB39,1),"")</f>
        <v/>
      </c>
    </row>
    <row r="40" spans="1:29" x14ac:dyDescent="0.25">
      <c r="A40" s="13" t="str">
        <f>IFERROR(INDEX($AA$1:$AA$368,MATCH(52,$AC$1:$AC$368,0)),"")</f>
        <v>Ruud van Leeuwen</v>
      </c>
      <c r="B40" s="13" t="str">
        <f>IF($A40="","",IF(IFERROR(INDEX(Barneveld!$E$4:$E$36,MATCH($A40,Barneveld!$C$4:$C$36,0)),"")&lt;&gt;"",IFERROR(INDEX(Barneveld!$E$4:$E$36,MATCH($A40,Barneveld!$C$4:$C$36,0)),""),IF(IFERROR(INDEX(Baarn!$F$4:$F$38,MATCH($A40,Baarn!$C$4:$C$38,0)),"")&lt;&gt;"",IFERROR(INDEX(Baarn!$F$4:$F$38,MATCH($A40,Baarn!$C$4:$C$38,0)),""),IF(IFERROR(INDEX(Scherpenzeel!$F$4:$F$103,MATCH($A40,Scherpenzeel!$C$4:$C$103,0)),"")&lt;&gt;"",IFERROR(INDEX(Scherpenzeel!$F$4:$F$103,MATCH($A40,Scherpenzeel!$C$4:$C$103,0)),""),IF(IFERROR(INDEX('4'!$F$4:$F$103,MATCH($A40,'4'!$C$4:$C$103,0)),"")&lt;&gt;"",IFERROR(INDEX('4'!$F$4:$F$103,MATCH($A40,'4'!$C$4:$C$103,0)),""),IFERROR(INDEX('5'!$F$4:$F$103,MATCH($A40,'5'!$C$4:$C$103,0)),""))))))</f>
        <v>A.S.S.W.S.V. SKITS</v>
      </c>
      <c r="C40" s="13" t="str">
        <f>IF($A40="","",IF(IFERROR(INDEX(Barneveld!$D$4:$D$36,MATCH($A40,Barneveld!$C$4:$C$36,0)),"")&lt;&gt;"",IFERROR(INDEX(Barneveld!$D$4:$D$36,MATCH($A40,Barneveld!$C$4:$C$36,0)),""),IF(IFERROR(INDEX(Baarn!$E$4:$E$38,MATCH($A40,Baarn!$C$4:$C$38,0)),"")&lt;&gt;"",IFERROR(INDEX(Baarn!$E$4:$E$38,MATCH($A40,Baarn!$C$4:$C$38,0)),""),IF(IFERROR(INDEX(Scherpenzeel!$E$4:$E$103,MATCH($A40,Scherpenzeel!$C$4:$C$103,0)),"")&lt;&gt;"",IFERROR(INDEX(Scherpenzeel!$E$4:$E$103,MATCH($A40,Scherpenzeel!$C$4:$C$103,0)),""),IF(IFERROR(INDEX('4'!$E$4:$E$103,MATCH($A40,'4'!$C$4:$C$103,0)),"")&lt;&gt;"",IFERROR(INDEX('4'!$E$4:$E$103,MATCH($A40,'4'!$C$4:$C$103,0)),""),IFERROR(INDEX('5'!$E$4:$E$103,MATCH($A40,'5'!$C$4:$C$103,0)),""))))))</f>
        <v>KNWU Licentie (Plus)</v>
      </c>
      <c r="D40" s="24" t="str">
        <f>IF($A40="","",IFERROR(INDEX(Barneveld!$A$4:$A$36,MATCH($A40,Barneveld!$C$4:$C$36,0)),""))</f>
        <v/>
      </c>
      <c r="E40" s="15">
        <f>IF($A40="",0,IFERROR(INDEX(Barneveld!$H$4:$H$36,MATCH($A40,Barneveld!$C$4:$C$36,0)),0))</f>
        <v>0</v>
      </c>
      <c r="F40" s="24" t="str">
        <f>IF($A40="","",IFERROR(INDEX(Baarn!$A$4:$A$38,MATCH($A40,Baarn!$C$4:$C$38,0)),""))</f>
        <v/>
      </c>
      <c r="G40" s="15">
        <f>IF($A40="",0,IFERROR(INDEX(Baarn!$I$4:$I$38,MATCH($A40,Baarn!$C$4:$C$38,0)),0))</f>
        <v>0</v>
      </c>
      <c r="H40" s="24" t="str">
        <f>IF($A40="","",IFERROR(INDEX(Scherpenzeel!$A$4:$A$103,MATCH($A40,Scherpenzeel!$C$4:$C$103,0)),""))</f>
        <v>17</v>
      </c>
      <c r="I40" s="15">
        <v>32</v>
      </c>
      <c r="J40" s="24" t="str">
        <f>IF($A40="","",IFERROR(INDEX('4'!$A$4:$A$103,MATCH($A40,'4'!$C$4:$C$103,0)),""))</f>
        <v/>
      </c>
      <c r="K40" s="15">
        <f>IF($A40="",0,IFERROR(INDEX('4'!$I$4:$I$103,MATCH($A40,'4'!$C$4:$C$103,0)),0))</f>
        <v>0</v>
      </c>
      <c r="L40" s="24" t="str">
        <f>IF($A40="","",IFERROR(INDEX('5'!$A$4:$A$103,MATCH($A40,'5'!$C$4:$C$103,0)),""))</f>
        <v/>
      </c>
      <c r="M40" s="15">
        <f>IF($A40="",0,IFERROR(INDEX('5'!$I$4:$I$103,MATCH($A40,'5'!$C$4:$C$103,0)),0))</f>
        <v>0</v>
      </c>
      <c r="N40" s="25">
        <f>IF($A40="","",E40+G40+I40+K40+M40)</f>
        <v>32</v>
      </c>
      <c r="O40" s="26">
        <f>IF(OR($A40="",N40="",N40=0),"",RANK(N40,$N$4:$N$203,0))</f>
        <v>35</v>
      </c>
      <c r="AA40" t="str">
        <f>Baarn!C10</f>
        <v>Noery Weber</v>
      </c>
      <c r="AB40">
        <f>IF(AA40="",0,IF(COUNTIF($AA$1:AA40,AA40)=1,1,0))</f>
        <v>1</v>
      </c>
      <c r="AC40">
        <f>IF(AB40=1,COUNTIF($AB$1:AB40,1),"")</f>
        <v>36</v>
      </c>
    </row>
    <row r="41" spans="1:29" x14ac:dyDescent="0.25">
      <c r="A41" s="13" t="str">
        <f>IFERROR(INDEX($AA$1:$AA$368,MATCH(43,$AC$1:$AC$368,0)),"")</f>
        <v>Mick de Rooij</v>
      </c>
      <c r="B41" s="13" t="str">
        <f>IF($A41="","",IF(IFERROR(INDEX(Barneveld!$E$4:$E$36,MATCH($A41,Barneveld!$C$4:$C$36,0)),"")&lt;&gt;"",IFERROR(INDEX(Barneveld!$E$4:$E$36,MATCH($A41,Barneveld!$C$4:$C$36,0)),""),IF(IFERROR(INDEX(Baarn!$F$4:$F$38,MATCH($A41,Baarn!$C$4:$C$38,0)),"")&lt;&gt;"",IFERROR(INDEX(Baarn!$F$4:$F$38,MATCH($A41,Baarn!$C$4:$C$38,0)),""),IF(IFERROR(INDEX(Scherpenzeel!$F$4:$F$103,MATCH($A41,Scherpenzeel!$C$4:$C$103,0)),"")&lt;&gt;"",IFERROR(INDEX(Scherpenzeel!$F$4:$F$103,MATCH($A41,Scherpenzeel!$C$4:$C$103,0)),""),IF(IFERROR(INDEX('4'!$F$4:$F$103,MATCH($A41,'4'!$C$4:$C$103,0)),"")&lt;&gt;"",IFERROR(INDEX('4'!$F$4:$F$103,MATCH($A41,'4'!$C$4:$C$103,0)),""),IFERROR(INDEX('5'!$F$4:$F$103,MATCH($A41,'5'!$C$4:$C$103,0)),""))))))</f>
        <v>W.V. Eemland</v>
      </c>
      <c r="C41" s="13" t="str">
        <f>IF($A41="","",IF(IFERROR(INDEX(Barneveld!$D$4:$D$36,MATCH($A41,Barneveld!$C$4:$C$36,0)),"")&lt;&gt;"",IFERROR(INDEX(Barneveld!$D$4:$D$36,MATCH($A41,Barneveld!$C$4:$C$36,0)),""),IF(IFERROR(INDEX(Baarn!$E$4:$E$38,MATCH($A41,Baarn!$C$4:$C$38,0)),"")&lt;&gt;"",IFERROR(INDEX(Baarn!$E$4:$E$38,MATCH($A41,Baarn!$C$4:$C$38,0)),""),IF(IFERROR(INDEX(Scherpenzeel!$E$4:$E$103,MATCH($A41,Scherpenzeel!$C$4:$C$103,0)),"")&lt;&gt;"",IFERROR(INDEX(Scherpenzeel!$E$4:$E$103,MATCH($A41,Scherpenzeel!$C$4:$C$103,0)),""),IF(IFERROR(INDEX('4'!$E$4:$E$103,MATCH($A41,'4'!$C$4:$C$103,0)),"")&lt;&gt;"",IFERROR(INDEX('4'!$E$4:$E$103,MATCH($A41,'4'!$C$4:$C$103,0)),""),IFERROR(INDEX('5'!$E$4:$E$103,MATCH($A41,'5'!$C$4:$C$103,0)),""))))))</f>
        <v>Junior (U19)</v>
      </c>
      <c r="D41" s="24" t="str">
        <f>IF($A41="","",IFERROR(INDEX(Barneveld!$A$4:$A$36,MATCH($A41,Barneveld!$C$4:$C$36,0)),""))</f>
        <v/>
      </c>
      <c r="E41" s="15">
        <f>IF($A41="",0,IFERROR(INDEX(Barneveld!$H$4:$H$36,MATCH($A41,Barneveld!$C$4:$C$36,0)),0))</f>
        <v>0</v>
      </c>
      <c r="F41" s="24">
        <f>IF($A41="","",IFERROR(INDEX(Baarn!$A$4:$A$38,MATCH($A41,Baarn!$C$4:$C$38,0)),""))</f>
        <v>19</v>
      </c>
      <c r="G41" s="15">
        <f>IF($A41="",0,IFERROR(INDEX(Baarn!$I$4:$I$38,MATCH($A41,Baarn!$C$4:$C$38,0)),0))</f>
        <v>26</v>
      </c>
      <c r="H41" s="24" t="str">
        <f>IF($A41="","",IFERROR(INDEX(Scherpenzeel!$A$4:$A$103,MATCH($A41,Scherpenzeel!$C$4:$C$103,0)),""))</f>
        <v/>
      </c>
      <c r="I41" s="15">
        <f>IF($A41="",0,IFERROR(INDEX(Scherpenzeel!$I$4:$I$103,MATCH($A41,Scherpenzeel!$C$4:$C$103,0)),0))</f>
        <v>0</v>
      </c>
      <c r="J41" s="24" t="str">
        <f>IF($A41="","",IFERROR(INDEX('4'!$A$4:$A$103,MATCH($A41,'4'!$C$4:$C$103,0)),""))</f>
        <v/>
      </c>
      <c r="K41" s="15">
        <f>IF($A41="",0,IFERROR(INDEX('4'!$I$4:$I$103,MATCH($A41,'4'!$C$4:$C$103,0)),0))</f>
        <v>0</v>
      </c>
      <c r="L41" s="24" t="str">
        <f>IF($A41="","",IFERROR(INDEX('5'!$A$4:$A$103,MATCH($A41,'5'!$C$4:$C$103,0)),""))</f>
        <v/>
      </c>
      <c r="M41" s="15">
        <f>IF($A41="",0,IFERROR(INDEX('5'!$I$4:$I$103,MATCH($A41,'5'!$C$4:$C$103,0)),0))</f>
        <v>0</v>
      </c>
      <c r="N41" s="25">
        <f>IF($A41="","",E41+G41+I41+K41+M41)</f>
        <v>26</v>
      </c>
      <c r="O41" s="26">
        <f>IF(OR($A41="",N41="",N41=0),"",RANK(N41,$N$4:$N$203,0))</f>
        <v>38</v>
      </c>
      <c r="AA41" t="str">
        <f>Baarn!C11</f>
        <v>Lars de Weert</v>
      </c>
      <c r="AB41">
        <f>IF(AA41="",0,IF(COUNTIF($AA$1:AA41,AA41)=1,1,0))</f>
        <v>1</v>
      </c>
      <c r="AC41">
        <f>IF(AB41=1,COUNTIF($AB$1:AB41,1),"")</f>
        <v>37</v>
      </c>
    </row>
    <row r="42" spans="1:29" x14ac:dyDescent="0.25">
      <c r="A42" s="13" t="str">
        <f>IFERROR(INDEX($AA$1:$AA$368,MATCH(53,$AC$1:$AC$368,0)),"")</f>
        <v>Jesse Haaksman</v>
      </c>
      <c r="B42" s="13" t="str">
        <f>IF($A42="","",IF(IFERROR(INDEX(Barneveld!$E$4:$E$36,MATCH($A42,Barneveld!$C$4:$C$36,0)),"")&lt;&gt;"",IFERROR(INDEX(Barneveld!$E$4:$E$36,MATCH($A42,Barneveld!$C$4:$C$36,0)),""),IF(IFERROR(INDEX(Baarn!$F$4:$F$38,MATCH($A42,Baarn!$C$4:$C$38,0)),"")&lt;&gt;"",IFERROR(INDEX(Baarn!$F$4:$F$38,MATCH($A42,Baarn!$C$4:$C$38,0)),""),IF(IFERROR(INDEX(Scherpenzeel!$F$4:$F$103,MATCH($A42,Scherpenzeel!$C$4:$C$103,0)),"")&lt;&gt;"",IFERROR(INDEX(Scherpenzeel!$F$4:$F$103,MATCH($A42,Scherpenzeel!$C$4:$C$103,0)),""),IF(IFERROR(INDEX('4'!$F$4:$F$103,MATCH($A42,'4'!$C$4:$C$103,0)),"")&lt;&gt;"",IFERROR(INDEX('4'!$F$4:$F$103,MATCH($A42,'4'!$C$4:$C$103,0)),""),IFERROR(INDEX('5'!$F$4:$F$103,MATCH($A42,'5'!$C$4:$C$103,0)),""))))))</f>
        <v>RTV Oldenzaalse WCL</v>
      </c>
      <c r="C42" s="13" t="str">
        <f>IF($A42="","",IF(IFERROR(INDEX(Barneveld!$D$4:$D$36,MATCH($A42,Barneveld!$C$4:$C$36,0)),"")&lt;&gt;"",IFERROR(INDEX(Barneveld!$D$4:$D$36,MATCH($A42,Barneveld!$C$4:$C$36,0)),""),IF(IFERROR(INDEX(Baarn!$E$4:$E$38,MATCH($A42,Baarn!$C$4:$C$38,0)),"")&lt;&gt;"",IFERROR(INDEX(Baarn!$E$4:$E$38,MATCH($A42,Baarn!$C$4:$C$38,0)),""),IF(IFERROR(INDEX(Scherpenzeel!$E$4:$E$103,MATCH($A42,Scherpenzeel!$C$4:$C$103,0)),"")&lt;&gt;"",IFERROR(INDEX(Scherpenzeel!$E$4:$E$103,MATCH($A42,Scherpenzeel!$C$4:$C$103,0)),""),IF(IFERROR(INDEX('4'!$E$4:$E$103,MATCH($A42,'4'!$C$4:$C$103,0)),"")&lt;&gt;"",IFERROR(INDEX('4'!$E$4:$E$103,MATCH($A42,'4'!$C$4:$C$103,0)),""),IFERROR(INDEX('5'!$E$4:$E$103,MATCH($A42,'5'!$C$4:$C$103,0)),""))))))</f>
        <v>KNWU Licentie (Plus)</v>
      </c>
      <c r="D42" s="24" t="str">
        <f>IF($A42="","",IFERROR(INDEX(Barneveld!$A$4:$A$36,MATCH($A42,Barneveld!$C$4:$C$36,0)),""))</f>
        <v/>
      </c>
      <c r="E42" s="15">
        <f>IF($A42="",0,IFERROR(INDEX(Barneveld!$H$4:$H$36,MATCH($A42,Barneveld!$C$4:$C$36,0)),0))</f>
        <v>0</v>
      </c>
      <c r="F42" s="24" t="str">
        <f>IF($A42="","",IFERROR(INDEX(Baarn!$A$4:$A$38,MATCH($A42,Baarn!$C$4:$C$38,0)),""))</f>
        <v/>
      </c>
      <c r="G42" s="15">
        <f>IF($A42="",0,IFERROR(INDEX(Baarn!$I$4:$I$38,MATCH($A42,Baarn!$C$4:$C$38,0)),0))</f>
        <v>0</v>
      </c>
      <c r="H42" s="24" t="str">
        <f>IF($A42="","",IFERROR(INDEX(Scherpenzeel!$A$4:$A$103,MATCH($A42,Scherpenzeel!$C$4:$C$103,0)),""))</f>
        <v>19</v>
      </c>
      <c r="I42" s="15">
        <v>26</v>
      </c>
      <c r="J42" s="24" t="str">
        <f>IF($A42="","",IFERROR(INDEX('4'!$A$4:$A$103,MATCH($A42,'4'!$C$4:$C$103,0)),""))</f>
        <v/>
      </c>
      <c r="K42" s="15">
        <f>IF($A42="",0,IFERROR(INDEX('4'!$I$4:$I$103,MATCH($A42,'4'!$C$4:$C$103,0)),0))</f>
        <v>0</v>
      </c>
      <c r="L42" s="24" t="str">
        <f>IF($A42="","",IFERROR(INDEX('5'!$A$4:$A$103,MATCH($A42,'5'!$C$4:$C$103,0)),""))</f>
        <v/>
      </c>
      <c r="M42" s="15">
        <f>IF($A42="",0,IFERROR(INDEX('5'!$I$4:$I$103,MATCH($A42,'5'!$C$4:$C$103,0)),0))</f>
        <v>0</v>
      </c>
      <c r="N42" s="25">
        <f>IF($A42="","",E42+G42+I42+K42+M42)</f>
        <v>26</v>
      </c>
      <c r="O42" s="26">
        <f>IF(OR($A42="",N42="",N42=0),"",RANK(N42,$N$4:$N$203,0))</f>
        <v>38</v>
      </c>
      <c r="AA42" t="str">
        <f>Baarn!C12</f>
        <v>Ruben Ubels</v>
      </c>
      <c r="AB42">
        <f>IF(AA42="",0,IF(COUNTIF($AA$1:AA42,AA42)=1,1,0))</f>
        <v>0</v>
      </c>
      <c r="AC42" t="str">
        <f>IF(AB42=1,COUNTIF($AB$1:AB42,1),"")</f>
        <v/>
      </c>
    </row>
    <row r="43" spans="1:29" x14ac:dyDescent="0.25">
      <c r="A43" s="13" t="str">
        <f>IFERROR(INDEX($AA$1:$AA$368,MATCH(44,$AC$1:$AC$368,0)),"")</f>
        <v>Jaap Mekenkamp</v>
      </c>
      <c r="B43" s="13" t="str">
        <f>IF($A43="","",IF(IFERROR(INDEX(Barneveld!$E$4:$E$36,MATCH($A43,Barneveld!$C$4:$C$36,0)),"")&lt;&gt;"",IFERROR(INDEX(Barneveld!$E$4:$E$36,MATCH($A43,Barneveld!$C$4:$C$36,0)),""),IF(IFERROR(INDEX(Baarn!$F$4:$F$38,MATCH($A43,Baarn!$C$4:$C$38,0)),"")&lt;&gt;"",IFERROR(INDEX(Baarn!$F$4:$F$38,MATCH($A43,Baarn!$C$4:$C$38,0)),""),IF(IFERROR(INDEX(Scherpenzeel!$F$4:$F$103,MATCH($A43,Scherpenzeel!$C$4:$C$103,0)),"")&lt;&gt;"",IFERROR(INDEX(Scherpenzeel!$F$4:$F$103,MATCH($A43,Scherpenzeel!$C$4:$C$103,0)),""),IF(IFERROR(INDEX('4'!$F$4:$F$103,MATCH($A43,'4'!$C$4:$C$103,0)),"")&lt;&gt;"",IFERROR(INDEX('4'!$F$4:$F$103,MATCH($A43,'4'!$C$4:$C$103,0)),""),IFERROR(INDEX('5'!$F$4:$F$103,MATCH($A43,'5'!$C$4:$C$103,0)),""))))))</f>
        <v>W.V. Eemland</v>
      </c>
      <c r="C43" s="13" t="str">
        <f>IF($A43="","",IF(IFERROR(INDEX(Barneveld!$D$4:$D$36,MATCH($A43,Barneveld!$C$4:$C$36,0)),"")&lt;&gt;"",IFERROR(INDEX(Barneveld!$D$4:$D$36,MATCH($A43,Barneveld!$C$4:$C$36,0)),""),IF(IFERROR(INDEX(Baarn!$E$4:$E$38,MATCH($A43,Baarn!$C$4:$C$38,0)),"")&lt;&gt;"",IFERROR(INDEX(Baarn!$E$4:$E$38,MATCH($A43,Baarn!$C$4:$C$38,0)),""),IF(IFERROR(INDEX(Scherpenzeel!$E$4:$E$103,MATCH($A43,Scherpenzeel!$C$4:$C$103,0)),"")&lt;&gt;"",IFERROR(INDEX(Scherpenzeel!$E$4:$E$103,MATCH($A43,Scherpenzeel!$C$4:$C$103,0)),""),IF(IFERROR(INDEX('4'!$E$4:$E$103,MATCH($A43,'4'!$C$4:$C$103,0)),"")&lt;&gt;"",IFERROR(INDEX('4'!$E$4:$E$103,MATCH($A43,'4'!$C$4:$C$103,0)),""),IFERROR(INDEX('5'!$E$4:$E$103,MATCH($A43,'5'!$C$4:$C$103,0)),""))))))</f>
        <v>KNWU Licentie (Plus)</v>
      </c>
      <c r="D43" s="24" t="str">
        <f>IF($A43="","",IFERROR(INDEX(Barneveld!$A$4:$A$36,MATCH($A43,Barneveld!$C$4:$C$36,0)),""))</f>
        <v/>
      </c>
      <c r="E43" s="15">
        <f>IF($A43="",0,IFERROR(INDEX(Barneveld!$H$4:$H$36,MATCH($A43,Barneveld!$C$4:$C$36,0)),0))</f>
        <v>0</v>
      </c>
      <c r="F43" s="24">
        <f>IF($A43="","",IFERROR(INDEX(Baarn!$A$4:$A$38,MATCH($A43,Baarn!$C$4:$C$38,0)),""))</f>
        <v>20</v>
      </c>
      <c r="G43" s="15">
        <f>IF($A43="",0,IFERROR(INDEX(Baarn!$I$4:$I$38,MATCH($A43,Baarn!$C$4:$C$38,0)),0))</f>
        <v>24</v>
      </c>
      <c r="H43" s="24" t="str">
        <f>IF($A43="","",IFERROR(INDEX(Scherpenzeel!$A$4:$A$103,MATCH($A43,Scherpenzeel!$C$4:$C$103,0)),""))</f>
        <v>DNF</v>
      </c>
      <c r="I43" s="15">
        <f>IF($A43="",0,IFERROR(INDEX(Scherpenzeel!$I$4:$I$103,MATCH($A43,Scherpenzeel!$C$4:$C$103,0)),0))</f>
        <v>1</v>
      </c>
      <c r="J43" s="24" t="str">
        <f>IF($A43="","",IFERROR(INDEX('4'!$A$4:$A$103,MATCH($A43,'4'!$C$4:$C$103,0)),""))</f>
        <v/>
      </c>
      <c r="K43" s="15">
        <f>IF($A43="",0,IFERROR(INDEX('4'!$I$4:$I$103,MATCH($A43,'4'!$C$4:$C$103,0)),0))</f>
        <v>0</v>
      </c>
      <c r="L43" s="24" t="str">
        <f>IF($A43="","",IFERROR(INDEX('5'!$A$4:$A$103,MATCH($A43,'5'!$C$4:$C$103,0)),""))</f>
        <v/>
      </c>
      <c r="M43" s="15">
        <f>IF($A43="",0,IFERROR(INDEX('5'!$I$4:$I$103,MATCH($A43,'5'!$C$4:$C$103,0)),0))</f>
        <v>0</v>
      </c>
      <c r="N43" s="25">
        <f>IF($A43="","",E43+G43+I43+K43+M43)</f>
        <v>25</v>
      </c>
      <c r="O43" s="26">
        <f>IF(OR($A43="",N43="",N43=0),"",RANK(N43,$N$4:$N$203,0))</f>
        <v>40</v>
      </c>
      <c r="AA43" t="str">
        <f>Baarn!C13</f>
        <v>Nick Broos</v>
      </c>
      <c r="AB43">
        <f>IF(AA43="",0,IF(COUNTIF($AA$1:AA43,AA43)=1,1,0))</f>
        <v>1</v>
      </c>
      <c r="AC43">
        <f>IF(AB43=1,COUNTIF($AB$1:AB43,1),"")</f>
        <v>38</v>
      </c>
    </row>
    <row r="44" spans="1:29" x14ac:dyDescent="0.25">
      <c r="A44" s="13" t="str">
        <f>IFERROR(INDEX($AA$1:$AA$368,MATCH(20,$AC$1:$AC$368,0)),"")</f>
        <v>Melle Nikkels</v>
      </c>
      <c r="B44" s="13" t="str">
        <f>IF($A44="","",IF(IFERROR(INDEX(Barneveld!$E$4:$E$36,MATCH($A44,Barneveld!$C$4:$C$36,0)),"")&lt;&gt;"",IFERROR(INDEX(Barneveld!$E$4:$E$36,MATCH($A44,Barneveld!$C$4:$C$36,0)),""),IF(IFERROR(INDEX(Baarn!$F$4:$F$38,MATCH($A44,Baarn!$C$4:$C$38,0)),"")&lt;&gt;"",IFERROR(INDEX(Baarn!$F$4:$F$38,MATCH($A44,Baarn!$C$4:$C$38,0)),""),IF(IFERROR(INDEX(Scherpenzeel!$F$4:$F$103,MATCH($A44,Scherpenzeel!$C$4:$C$103,0)),"")&lt;&gt;"",IFERROR(INDEX(Scherpenzeel!$F$4:$F$103,MATCH($A44,Scherpenzeel!$C$4:$C$103,0)),""),IF(IFERROR(INDEX('4'!$F$4:$F$103,MATCH($A44,'4'!$C$4:$C$103,0)),"")&lt;&gt;"",IFERROR(INDEX('4'!$F$4:$F$103,MATCH($A44,'4'!$C$4:$C$103,0)),""),IFERROR(INDEX('5'!$F$4:$F$103,MATCH($A44,'5'!$C$4:$C$103,0)),""))))))</f>
        <v/>
      </c>
      <c r="C44" s="13" t="str">
        <f>IF($A44="","",IF(IFERROR(INDEX(Barneveld!$D$4:$D$36,MATCH($A44,Barneveld!$C$4:$C$36,0)),"")&lt;&gt;"",IFERROR(INDEX(Barneveld!$D$4:$D$36,MATCH($A44,Barneveld!$C$4:$C$36,0)),""),IF(IFERROR(INDEX(Baarn!$E$4:$E$38,MATCH($A44,Baarn!$C$4:$C$38,0)),"")&lt;&gt;"",IFERROR(INDEX(Baarn!$E$4:$E$38,MATCH($A44,Baarn!$C$4:$C$38,0)),""),IF(IFERROR(INDEX(Scherpenzeel!$E$4:$E$103,MATCH($A44,Scherpenzeel!$C$4:$C$103,0)),"")&lt;&gt;"",IFERROR(INDEX(Scherpenzeel!$E$4:$E$103,MATCH($A44,Scherpenzeel!$C$4:$C$103,0)),""),IF(IFERROR(INDEX('4'!$E$4:$E$103,MATCH($A44,'4'!$C$4:$C$103,0)),"")&lt;&gt;"",IFERROR(INDEX('4'!$E$4:$E$103,MATCH($A44,'4'!$C$4:$C$103,0)),""),IFERROR(INDEX('5'!$E$4:$E$103,MATCH($A44,'5'!$C$4:$C$103,0)),""))))))</f>
        <v>KNWU Licentie (Plus)</v>
      </c>
      <c r="D44" s="24">
        <f>IF($A44="","",IFERROR(INDEX(Barneveld!$A$4:$A$36,MATCH($A44,Barneveld!$C$4:$C$36,0)),""))</f>
        <v>20</v>
      </c>
      <c r="E44" s="15">
        <f>IF($A44="",0,IFERROR(INDEX(Barneveld!$H$4:$H$36,MATCH($A44,Barneveld!$C$4:$C$36,0)),0))</f>
        <v>24</v>
      </c>
      <c r="F44" s="24" t="str">
        <f>IF($A44="","",IFERROR(INDEX(Baarn!$A$4:$A$38,MATCH($A44,Baarn!$C$4:$C$38,0)),""))</f>
        <v/>
      </c>
      <c r="G44" s="15">
        <f>IF($A44="",0,IFERROR(INDEX(Baarn!$I$4:$I$38,MATCH($A44,Baarn!$C$4:$C$38,0)),0))</f>
        <v>0</v>
      </c>
      <c r="H44" s="24" t="str">
        <f>IF($A44="","",IFERROR(INDEX(Scherpenzeel!$A$4:$A$103,MATCH($A44,Scherpenzeel!$C$4:$C$103,0)),""))</f>
        <v/>
      </c>
      <c r="I44" s="15">
        <f>IF($A44="",0,IFERROR(INDEX(Scherpenzeel!$I$4:$I$103,MATCH($A44,Scherpenzeel!$C$4:$C$103,0)),0))</f>
        <v>0</v>
      </c>
      <c r="J44" s="24" t="str">
        <f>IF($A44="","",IFERROR(INDEX('4'!$A$4:$A$103,MATCH($A44,'4'!$C$4:$C$103,0)),""))</f>
        <v/>
      </c>
      <c r="K44" s="15">
        <f>IF($A44="",0,IFERROR(INDEX('4'!$I$4:$I$103,MATCH($A44,'4'!$C$4:$C$103,0)),0))</f>
        <v>0</v>
      </c>
      <c r="L44" s="24" t="str">
        <f>IF($A44="","",IFERROR(INDEX('5'!$A$4:$A$103,MATCH($A44,'5'!$C$4:$C$103,0)),""))</f>
        <v/>
      </c>
      <c r="M44" s="15">
        <f>IF($A44="",0,IFERROR(INDEX('5'!$I$4:$I$103,MATCH($A44,'5'!$C$4:$C$103,0)),0))</f>
        <v>0</v>
      </c>
      <c r="N44" s="25">
        <f>IF($A44="","",E44+G44+I44+K44+M44)</f>
        <v>24</v>
      </c>
      <c r="O44" s="26">
        <f>IF(OR($A44="",N44="",N44=0),"",RANK(N44,$N$4:$N$203,0))</f>
        <v>41</v>
      </c>
      <c r="AA44" t="str">
        <f>Baarn!C14</f>
        <v>Nout Remeeus</v>
      </c>
      <c r="AB44">
        <f>IF(AA44="",0,IF(COUNTIF($AA$1:AA44,AA44)=1,1,0))</f>
        <v>0</v>
      </c>
      <c r="AC44" t="str">
        <f>IF(AB44=1,COUNTIF($AB$1:AB44,1),"")</f>
        <v/>
      </c>
    </row>
    <row r="45" spans="1:29" x14ac:dyDescent="0.25">
      <c r="A45" s="13" t="str">
        <f>IFERROR(INDEX($AA$1:$AA$368,MATCH(54,$AC$1:$AC$368,0)),"")</f>
        <v>Lieuwe van der Meulen</v>
      </c>
      <c r="B45" s="13" t="str">
        <f>IF($A45="","",IF(IFERROR(INDEX(Barneveld!$E$4:$E$36,MATCH($A45,Barneveld!$C$4:$C$36,0)),"")&lt;&gt;"",IFERROR(INDEX(Barneveld!$E$4:$E$36,MATCH($A45,Barneveld!$C$4:$C$36,0)),""),IF(IFERROR(INDEX(Baarn!$F$4:$F$38,MATCH($A45,Baarn!$C$4:$C$38,0)),"")&lt;&gt;"",IFERROR(INDEX(Baarn!$F$4:$F$38,MATCH($A45,Baarn!$C$4:$C$38,0)),""),IF(IFERROR(INDEX(Scherpenzeel!$F$4:$F$103,MATCH($A45,Scherpenzeel!$C$4:$C$103,0)),"")&lt;&gt;"",IFERROR(INDEX(Scherpenzeel!$F$4:$F$103,MATCH($A45,Scherpenzeel!$C$4:$C$103,0)),""),IF(IFERROR(INDEX('4'!$F$4:$F$103,MATCH($A45,'4'!$C$4:$C$103,0)),"")&lt;&gt;"",IFERROR(INDEX('4'!$F$4:$F$103,MATCH($A45,'4'!$C$4:$C$103,0)),""),IFERROR(INDEX('5'!$F$4:$F$103,MATCH($A45,'5'!$C$4:$C$103,0)),""))))))</f>
        <v>WV de Amstel</v>
      </c>
      <c r="C45" s="13" t="str">
        <f>IF($A45="","",IF(IFERROR(INDEX(Barneveld!$D$4:$D$36,MATCH($A45,Barneveld!$C$4:$C$36,0)),"")&lt;&gt;"",IFERROR(INDEX(Barneveld!$D$4:$D$36,MATCH($A45,Barneveld!$C$4:$C$36,0)),""),IF(IFERROR(INDEX(Baarn!$E$4:$E$38,MATCH($A45,Baarn!$C$4:$C$38,0)),"")&lt;&gt;"",IFERROR(INDEX(Baarn!$E$4:$E$38,MATCH($A45,Baarn!$C$4:$C$38,0)),""),IF(IFERROR(INDEX(Scherpenzeel!$E$4:$E$103,MATCH($A45,Scherpenzeel!$C$4:$C$103,0)),"")&lt;&gt;"",IFERROR(INDEX(Scherpenzeel!$E$4:$E$103,MATCH($A45,Scherpenzeel!$C$4:$C$103,0)),""),IF(IFERROR(INDEX('4'!$E$4:$E$103,MATCH($A45,'4'!$C$4:$C$103,0)),"")&lt;&gt;"",IFERROR(INDEX('4'!$E$4:$E$103,MATCH($A45,'4'!$C$4:$C$103,0)),""),IFERROR(INDEX('5'!$E$4:$E$103,MATCH($A45,'5'!$C$4:$C$103,0)),""))))))</f>
        <v>Junior (U19)</v>
      </c>
      <c r="D45" s="24" t="str">
        <f>IF($A45="","",IFERROR(INDEX(Barneveld!$A$4:$A$36,MATCH($A45,Barneveld!$C$4:$C$36,0)),""))</f>
        <v/>
      </c>
      <c r="E45" s="15">
        <f>IF($A45="",0,IFERROR(INDEX(Barneveld!$H$4:$H$36,MATCH($A45,Barneveld!$C$4:$C$36,0)),0))</f>
        <v>0</v>
      </c>
      <c r="F45" s="24" t="str">
        <f>IF($A45="","",IFERROR(INDEX(Baarn!$A$4:$A$38,MATCH($A45,Baarn!$C$4:$C$38,0)),""))</f>
        <v/>
      </c>
      <c r="G45" s="15">
        <f>IF($A45="",0,IFERROR(INDEX(Baarn!$I$4:$I$38,MATCH($A45,Baarn!$C$4:$C$38,0)),0))</f>
        <v>0</v>
      </c>
      <c r="H45" s="24" t="str">
        <f>IF($A45="","",IFERROR(INDEX(Scherpenzeel!$A$4:$A$103,MATCH($A45,Scherpenzeel!$C$4:$C$103,0)),""))</f>
        <v>20</v>
      </c>
      <c r="I45" s="15">
        <v>24</v>
      </c>
      <c r="J45" s="24" t="str">
        <f>IF($A45="","",IFERROR(INDEX('4'!$A$4:$A$103,MATCH($A45,'4'!$C$4:$C$103,0)),""))</f>
        <v/>
      </c>
      <c r="K45" s="15">
        <f>IF($A45="",0,IFERROR(INDEX('4'!$I$4:$I$103,MATCH($A45,'4'!$C$4:$C$103,0)),0))</f>
        <v>0</v>
      </c>
      <c r="L45" s="24" t="str">
        <f>IF($A45="","",IFERROR(INDEX('5'!$A$4:$A$103,MATCH($A45,'5'!$C$4:$C$103,0)),""))</f>
        <v/>
      </c>
      <c r="M45" s="15">
        <f>IF($A45="",0,IFERROR(INDEX('5'!$I$4:$I$103,MATCH($A45,'5'!$C$4:$C$103,0)),0))</f>
        <v>0</v>
      </c>
      <c r="N45" s="25">
        <f>IF($A45="","",E45+G45+I45+K45+M45)</f>
        <v>24</v>
      </c>
      <c r="O45" s="26">
        <f>IF(OR($A45="",N45="",N45=0),"",RANK(N45,$N$4:$N$203,0))</f>
        <v>41</v>
      </c>
      <c r="AA45" t="str">
        <f>Baarn!C15</f>
        <v>Olaf Oussoren</v>
      </c>
      <c r="AB45">
        <f>IF(AA45="",0,IF(COUNTIF($AA$1:AA45,AA45)=1,1,0))</f>
        <v>1</v>
      </c>
      <c r="AC45">
        <f>IF(AB45=1,COUNTIF($AB$1:AB45,1),"")</f>
        <v>39</v>
      </c>
    </row>
    <row r="46" spans="1:29" x14ac:dyDescent="0.25">
      <c r="A46" s="13" t="str">
        <f>IFERROR(INDEX($AA$1:$AA$368,MATCH(21,$AC$1:$AC$368,0)),"")</f>
        <v>Alexander Harper</v>
      </c>
      <c r="B46" s="13" t="str">
        <f>IF($A46="","",IF(IFERROR(INDEX(Barneveld!$E$4:$E$36,MATCH($A46,Barneveld!$C$4:$C$36,0)),"")&lt;&gt;"",IFERROR(INDEX(Barneveld!$E$4:$E$36,MATCH($A46,Barneveld!$C$4:$C$36,0)),""),IF(IFERROR(INDEX(Baarn!$F$4:$F$38,MATCH($A46,Baarn!$C$4:$C$38,0)),"")&lt;&gt;"",IFERROR(INDEX(Baarn!$F$4:$F$38,MATCH($A46,Baarn!$C$4:$C$38,0)),""),IF(IFERROR(INDEX(Scherpenzeel!$F$4:$F$103,MATCH($A46,Scherpenzeel!$C$4:$C$103,0)),"")&lt;&gt;"",IFERROR(INDEX(Scherpenzeel!$F$4:$F$103,MATCH($A46,Scherpenzeel!$C$4:$C$103,0)),""),IF(IFERROR(INDEX('4'!$F$4:$F$103,MATCH($A46,'4'!$C$4:$C$103,0)),"")&lt;&gt;"",IFERROR(INDEX('4'!$F$4:$F$103,MATCH($A46,'4'!$C$4:$C$103,0)),""),IFERROR(INDEX('5'!$F$4:$F$103,MATCH($A46,'5'!$C$4:$C$103,0)),""))))))</f>
        <v>NSWV Mercurius</v>
      </c>
      <c r="C46" s="13" t="str">
        <f>IF($A46="","",IF(IFERROR(INDEX(Barneveld!$D$4:$D$36,MATCH($A46,Barneveld!$C$4:$C$36,0)),"")&lt;&gt;"",IFERROR(INDEX(Barneveld!$D$4:$D$36,MATCH($A46,Barneveld!$C$4:$C$36,0)),""),IF(IFERROR(INDEX(Baarn!$E$4:$E$38,MATCH($A46,Baarn!$C$4:$C$38,0)),"")&lt;&gt;"",IFERROR(INDEX(Baarn!$E$4:$E$38,MATCH($A46,Baarn!$C$4:$C$38,0)),""),IF(IFERROR(INDEX(Scherpenzeel!$E$4:$E$103,MATCH($A46,Scherpenzeel!$C$4:$C$103,0)),"")&lt;&gt;"",IFERROR(INDEX(Scherpenzeel!$E$4:$E$103,MATCH($A46,Scherpenzeel!$C$4:$C$103,0)),""),IF(IFERROR(INDEX('4'!$E$4:$E$103,MATCH($A46,'4'!$C$4:$C$103,0)),"")&lt;&gt;"",IFERROR(INDEX('4'!$E$4:$E$103,MATCH($A46,'4'!$C$4:$C$103,0)),""),IFERROR(INDEX('5'!$E$4:$E$103,MATCH($A46,'5'!$C$4:$C$103,0)),""))))))</f>
        <v>KNWU Licentie (Plus)</v>
      </c>
      <c r="D46" s="24">
        <f>IF($A46="","",IFERROR(INDEX(Barneveld!$A$4:$A$36,MATCH($A46,Barneveld!$C$4:$C$36,0)),""))</f>
        <v>21</v>
      </c>
      <c r="E46" s="15">
        <f>IF($A46="",0,IFERROR(INDEX(Barneveld!$H$4:$H$36,MATCH($A46,Barneveld!$C$4:$C$36,0)),0))</f>
        <v>22</v>
      </c>
      <c r="F46" s="24" t="str">
        <f>IF($A46="","",IFERROR(INDEX(Baarn!$A$4:$A$38,MATCH($A46,Baarn!$C$4:$C$38,0)),""))</f>
        <v/>
      </c>
      <c r="G46" s="15">
        <f>IF($A46="",0,IFERROR(INDEX(Baarn!$I$4:$I$38,MATCH($A46,Baarn!$C$4:$C$38,0)),0))</f>
        <v>0</v>
      </c>
      <c r="H46" s="24" t="str">
        <f>IF($A46="","",IFERROR(INDEX(Scherpenzeel!$A$4:$A$103,MATCH($A46,Scherpenzeel!$C$4:$C$103,0)),""))</f>
        <v>DNF</v>
      </c>
      <c r="I46" s="15">
        <f>IF($A46="",0,IFERROR(INDEX(Scherpenzeel!$I$4:$I$103,MATCH($A46,Scherpenzeel!$C$4:$C$103,0)),0))</f>
        <v>1</v>
      </c>
      <c r="J46" s="24" t="str">
        <f>IF($A46="","",IFERROR(INDEX('4'!$A$4:$A$103,MATCH($A46,'4'!$C$4:$C$103,0)),""))</f>
        <v/>
      </c>
      <c r="K46" s="15">
        <f>IF($A46="",0,IFERROR(INDEX('4'!$I$4:$I$103,MATCH($A46,'4'!$C$4:$C$103,0)),0))</f>
        <v>0</v>
      </c>
      <c r="L46" s="24" t="str">
        <f>IF($A46="","",IFERROR(INDEX('5'!$A$4:$A$103,MATCH($A46,'5'!$C$4:$C$103,0)),""))</f>
        <v/>
      </c>
      <c r="M46" s="15">
        <f>IF($A46="",0,IFERROR(INDEX('5'!$I$4:$I$103,MATCH($A46,'5'!$C$4:$C$103,0)),0))</f>
        <v>0</v>
      </c>
      <c r="N46" s="25">
        <f>IF($A46="","",E46+G46+I46+K46+M46)</f>
        <v>23</v>
      </c>
      <c r="O46" s="26">
        <f>IF(OR($A46="",N46="",N46=0),"",RANK(N46,$N$4:$N$203,0))</f>
        <v>43</v>
      </c>
      <c r="AA46" t="str">
        <f>Baarn!C16</f>
        <v>Martijn Veling</v>
      </c>
      <c r="AB46">
        <f>IF(AA46="",0,IF(COUNTIF($AA$1:AA46,AA46)=1,1,0))</f>
        <v>0</v>
      </c>
      <c r="AC46" t="str">
        <f>IF(AB46=1,COUNTIF($AB$1:AB46,1),"")</f>
        <v/>
      </c>
    </row>
    <row r="47" spans="1:29" x14ac:dyDescent="0.25">
      <c r="A47" s="13" t="str">
        <f>IFERROR(INDEX($AA$1:$AA$368,MATCH(45,$AC$1:$AC$368,0)),"")</f>
        <v>Rens Thomassen</v>
      </c>
      <c r="B47" s="13" t="str">
        <f>IF($A47="","",IF(IFERROR(INDEX(Barneveld!$E$4:$E$36,MATCH($A47,Barneveld!$C$4:$C$36,0)),"")&lt;&gt;"",IFERROR(INDEX(Barneveld!$E$4:$E$36,MATCH($A47,Barneveld!$C$4:$C$36,0)),""),IF(IFERROR(INDEX(Baarn!$F$4:$F$38,MATCH($A47,Baarn!$C$4:$C$38,0)),"")&lt;&gt;"",IFERROR(INDEX(Baarn!$F$4:$F$38,MATCH($A47,Baarn!$C$4:$C$38,0)),""),IF(IFERROR(INDEX(Scherpenzeel!$F$4:$F$103,MATCH($A47,Scherpenzeel!$C$4:$C$103,0)),"")&lt;&gt;"",IFERROR(INDEX(Scherpenzeel!$F$4:$F$103,MATCH($A47,Scherpenzeel!$C$4:$C$103,0)),""),IF(IFERROR(INDEX('4'!$F$4:$F$103,MATCH($A47,'4'!$C$4:$C$103,0)),"")&lt;&gt;"",IFERROR(INDEX('4'!$F$4:$F$103,MATCH($A47,'4'!$C$4:$C$103,0)),""),IFERROR(INDEX('5'!$F$4:$F$103,MATCH($A47,'5'!$C$4:$C$103,0)),""))))))</f>
        <v>TWC 't Verzetje</v>
      </c>
      <c r="C47" s="13" t="str">
        <f>IF($A47="","",IF(IFERROR(INDEX(Barneveld!$D$4:$D$36,MATCH($A47,Barneveld!$C$4:$C$36,0)),"")&lt;&gt;"",IFERROR(INDEX(Barneveld!$D$4:$D$36,MATCH($A47,Barneveld!$C$4:$C$36,0)),""),IF(IFERROR(INDEX(Baarn!$E$4:$E$38,MATCH($A47,Baarn!$C$4:$C$38,0)),"")&lt;&gt;"",IFERROR(INDEX(Baarn!$E$4:$E$38,MATCH($A47,Baarn!$C$4:$C$38,0)),""),IF(IFERROR(INDEX(Scherpenzeel!$E$4:$E$103,MATCH($A47,Scherpenzeel!$C$4:$C$103,0)),"")&lt;&gt;"",IFERROR(INDEX(Scherpenzeel!$E$4:$E$103,MATCH($A47,Scherpenzeel!$C$4:$C$103,0)),""),IF(IFERROR(INDEX('4'!$E$4:$E$103,MATCH($A47,'4'!$C$4:$C$103,0)),"")&lt;&gt;"",IFERROR(INDEX('4'!$E$4:$E$103,MATCH($A47,'4'!$C$4:$C$103,0)),""),IFERROR(INDEX('5'!$E$4:$E$103,MATCH($A47,'5'!$C$4:$C$103,0)),""))))))</f>
        <v>Junior (U19)</v>
      </c>
      <c r="D47" s="24" t="str">
        <f>IF($A47="","",IFERROR(INDEX(Barneveld!$A$4:$A$36,MATCH($A47,Barneveld!$C$4:$C$36,0)),""))</f>
        <v/>
      </c>
      <c r="E47" s="15">
        <f>IF($A47="",0,IFERROR(INDEX(Barneveld!$H$4:$H$36,MATCH($A47,Barneveld!$C$4:$C$36,0)),0))</f>
        <v>0</v>
      </c>
      <c r="F47" s="24">
        <f>IF($A47="","",IFERROR(INDEX(Baarn!$A$4:$A$38,MATCH($A47,Baarn!$C$4:$C$38,0)),""))</f>
        <v>21</v>
      </c>
      <c r="G47" s="15">
        <f>IF($A47="",0,IFERROR(INDEX(Baarn!$I$4:$I$38,MATCH($A47,Baarn!$C$4:$C$38,0)),0))</f>
        <v>22</v>
      </c>
      <c r="H47" s="24" t="str">
        <f>IF($A47="","",IFERROR(INDEX(Scherpenzeel!$A$4:$A$103,MATCH($A47,Scherpenzeel!$C$4:$C$103,0)),""))</f>
        <v/>
      </c>
      <c r="I47" s="15">
        <f>IF($A47="",0,IFERROR(INDEX(Scherpenzeel!$I$4:$I$103,MATCH($A47,Scherpenzeel!$C$4:$C$103,0)),0))</f>
        <v>0</v>
      </c>
      <c r="J47" s="24" t="str">
        <f>IF($A47="","",IFERROR(INDEX('4'!$A$4:$A$103,MATCH($A47,'4'!$C$4:$C$103,0)),""))</f>
        <v/>
      </c>
      <c r="K47" s="15">
        <f>IF($A47="",0,IFERROR(INDEX('4'!$I$4:$I$103,MATCH($A47,'4'!$C$4:$C$103,0)),0))</f>
        <v>0</v>
      </c>
      <c r="L47" s="24" t="str">
        <f>IF($A47="","",IFERROR(INDEX('5'!$A$4:$A$103,MATCH($A47,'5'!$C$4:$C$103,0)),""))</f>
        <v/>
      </c>
      <c r="M47" s="15">
        <f>IF($A47="",0,IFERROR(INDEX('5'!$I$4:$I$103,MATCH($A47,'5'!$C$4:$C$103,0)),0))</f>
        <v>0</v>
      </c>
      <c r="N47" s="25">
        <f>IF($A47="","",E47+G47+I47+K47+M47)</f>
        <v>22</v>
      </c>
      <c r="O47" s="26">
        <f>IF(OR($A47="",N47="",N47=0),"",RANK(N47,$N$4:$N$203,0))</f>
        <v>44</v>
      </c>
      <c r="AA47" t="str">
        <f>Baarn!C17</f>
        <v>Ole Niesing</v>
      </c>
      <c r="AB47">
        <f>IF(AA47="",0,IF(COUNTIF($AA$1:AA47,AA47)=1,1,0))</f>
        <v>1</v>
      </c>
      <c r="AC47">
        <f>IF(AB47=1,COUNTIF($AB$1:AB47,1),"")</f>
        <v>40</v>
      </c>
    </row>
    <row r="48" spans="1:29" x14ac:dyDescent="0.25">
      <c r="A48" s="13" t="str">
        <f>IFERROR(INDEX($AA$1:$AA$368,MATCH(55,$AC$1:$AC$368,0)),"")</f>
        <v>Lars Ruizendaal</v>
      </c>
      <c r="B48" s="13" t="str">
        <f>IF($A48="","",IF(IFERROR(INDEX(Barneveld!$E$4:$E$36,MATCH($A48,Barneveld!$C$4:$C$36,0)),"")&lt;&gt;"",IFERROR(INDEX(Barneveld!$E$4:$E$36,MATCH($A48,Barneveld!$C$4:$C$36,0)),""),IF(IFERROR(INDEX(Baarn!$F$4:$F$38,MATCH($A48,Baarn!$C$4:$C$38,0)),"")&lt;&gt;"",IFERROR(INDEX(Baarn!$F$4:$F$38,MATCH($A48,Baarn!$C$4:$C$38,0)),""),IF(IFERROR(INDEX(Scherpenzeel!$F$4:$F$103,MATCH($A48,Scherpenzeel!$C$4:$C$103,0)),"")&lt;&gt;"",IFERROR(INDEX(Scherpenzeel!$F$4:$F$103,MATCH($A48,Scherpenzeel!$C$4:$C$103,0)),""),IF(IFERROR(INDEX('4'!$F$4:$F$103,MATCH($A48,'4'!$C$4:$C$103,0)),"")&lt;&gt;"",IFERROR(INDEX('4'!$F$4:$F$103,MATCH($A48,'4'!$C$4:$C$103,0)),""),IFERROR(INDEX('5'!$F$4:$F$103,MATCH($A48,'5'!$C$4:$C$103,0)),""))))))</f>
        <v>WV de Amstel</v>
      </c>
      <c r="C48" s="13" t="str">
        <f>IF($A48="","",IF(IFERROR(INDEX(Barneveld!$D$4:$D$36,MATCH($A48,Barneveld!$C$4:$C$36,0)),"")&lt;&gt;"",IFERROR(INDEX(Barneveld!$D$4:$D$36,MATCH($A48,Barneveld!$C$4:$C$36,0)),""),IF(IFERROR(INDEX(Baarn!$E$4:$E$38,MATCH($A48,Baarn!$C$4:$C$38,0)),"")&lt;&gt;"",IFERROR(INDEX(Baarn!$E$4:$E$38,MATCH($A48,Baarn!$C$4:$C$38,0)),""),IF(IFERROR(INDEX(Scherpenzeel!$E$4:$E$103,MATCH($A48,Scherpenzeel!$C$4:$C$103,0)),"")&lt;&gt;"",IFERROR(INDEX(Scherpenzeel!$E$4:$E$103,MATCH($A48,Scherpenzeel!$C$4:$C$103,0)),""),IF(IFERROR(INDEX('4'!$E$4:$E$103,MATCH($A48,'4'!$C$4:$C$103,0)),"")&lt;&gt;"",IFERROR(INDEX('4'!$E$4:$E$103,MATCH($A48,'4'!$C$4:$C$103,0)),""),IFERROR(INDEX('5'!$E$4:$E$103,MATCH($A48,'5'!$C$4:$C$103,0)),""))))))</f>
        <v>KNWU Licentie (Plus)</v>
      </c>
      <c r="D48" s="24" t="str">
        <f>IF($A48="","",IFERROR(INDEX(Barneveld!$A$4:$A$36,MATCH($A48,Barneveld!$C$4:$C$36,0)),""))</f>
        <v/>
      </c>
      <c r="E48" s="15">
        <f>IF($A48="",0,IFERROR(INDEX(Barneveld!$H$4:$H$36,MATCH($A48,Barneveld!$C$4:$C$36,0)),0))</f>
        <v>0</v>
      </c>
      <c r="F48" s="24" t="str">
        <f>IF($A48="","",IFERROR(INDEX(Baarn!$A$4:$A$38,MATCH($A48,Baarn!$C$4:$C$38,0)),""))</f>
        <v/>
      </c>
      <c r="G48" s="15">
        <f>IF($A48="",0,IFERROR(INDEX(Baarn!$I$4:$I$38,MATCH($A48,Baarn!$C$4:$C$38,0)),0))</f>
        <v>0</v>
      </c>
      <c r="H48" s="24" t="str">
        <f>IF($A48="","",IFERROR(INDEX(Scherpenzeel!$A$4:$A$103,MATCH($A48,Scherpenzeel!$C$4:$C$103,0)),""))</f>
        <v>21</v>
      </c>
      <c r="I48" s="15">
        <v>22</v>
      </c>
      <c r="J48" s="24" t="str">
        <f>IF($A48="","",IFERROR(INDEX('4'!$A$4:$A$103,MATCH($A48,'4'!$C$4:$C$103,0)),""))</f>
        <v/>
      </c>
      <c r="K48" s="15">
        <f>IF($A48="",0,IFERROR(INDEX('4'!$I$4:$I$103,MATCH($A48,'4'!$C$4:$C$103,0)),0))</f>
        <v>0</v>
      </c>
      <c r="L48" s="24" t="str">
        <f>IF($A48="","",IFERROR(INDEX('5'!$A$4:$A$103,MATCH($A48,'5'!$C$4:$C$103,0)),""))</f>
        <v/>
      </c>
      <c r="M48" s="15">
        <f>IF($A48="",0,IFERROR(INDEX('5'!$I$4:$I$103,MATCH($A48,'5'!$C$4:$C$103,0)),0))</f>
        <v>0</v>
      </c>
      <c r="N48" s="25">
        <f>IF($A48="","",E48+G48+I48+K48+M48)</f>
        <v>22</v>
      </c>
      <c r="O48" s="26">
        <f>IF(OR($A48="",N48="",N48=0),"",RANK(N48,$N$4:$N$203,0))</f>
        <v>44</v>
      </c>
      <c r="AA48" t="str">
        <f>Baarn!C18</f>
        <v>Yoep van der Peet</v>
      </c>
      <c r="AB48">
        <f>IF(AA48="",0,IF(COUNTIF($AA$1:AA48,AA48)=1,1,0))</f>
        <v>0</v>
      </c>
      <c r="AC48" t="str">
        <f>IF(AB48=1,COUNTIF($AB$1:AB48,1),"")</f>
        <v/>
      </c>
    </row>
    <row r="49" spans="1:29" x14ac:dyDescent="0.25">
      <c r="A49" s="13" t="str">
        <f>IFERROR(INDEX($AA$1:$AA$368,MATCH(22,$AC$1:$AC$368,0)),"")</f>
        <v>Bart Veldhuizen</v>
      </c>
      <c r="B49" s="13" t="str">
        <f>IF($A49="","",IF(IFERROR(INDEX(Barneveld!$E$4:$E$36,MATCH($A49,Barneveld!$C$4:$C$36,0)),"")&lt;&gt;"",IFERROR(INDEX(Barneveld!$E$4:$E$36,MATCH($A49,Barneveld!$C$4:$C$36,0)),""),IF(IFERROR(INDEX(Baarn!$F$4:$F$38,MATCH($A49,Baarn!$C$4:$C$38,0)),"")&lt;&gt;"",IFERROR(INDEX(Baarn!$F$4:$F$38,MATCH($A49,Baarn!$C$4:$C$38,0)),""),IF(IFERROR(INDEX(Scherpenzeel!$F$4:$F$103,MATCH($A49,Scherpenzeel!$C$4:$C$103,0)),"")&lt;&gt;"",IFERROR(INDEX(Scherpenzeel!$F$4:$F$103,MATCH($A49,Scherpenzeel!$C$4:$C$103,0)),""),IF(IFERROR(INDEX('4'!$F$4:$F$103,MATCH($A49,'4'!$C$4:$C$103,0)),"")&lt;&gt;"",IFERROR(INDEX('4'!$F$4:$F$103,MATCH($A49,'4'!$C$4:$C$103,0)),""),IFERROR(INDEX('5'!$F$4:$F$103,MATCH($A49,'5'!$C$4:$C$103,0)),""))))))</f>
        <v>BEAT Cycling Club</v>
      </c>
      <c r="C49" s="13" t="str">
        <f>IF($A49="","",IF(IFERROR(INDEX(Barneveld!$D$4:$D$36,MATCH($A49,Barneveld!$C$4:$C$36,0)),"")&lt;&gt;"",IFERROR(INDEX(Barneveld!$D$4:$D$36,MATCH($A49,Barneveld!$C$4:$C$36,0)),""),IF(IFERROR(INDEX(Baarn!$E$4:$E$38,MATCH($A49,Baarn!$C$4:$C$38,0)),"")&lt;&gt;"",IFERROR(INDEX(Baarn!$E$4:$E$38,MATCH($A49,Baarn!$C$4:$C$38,0)),""),IF(IFERROR(INDEX(Scherpenzeel!$E$4:$E$103,MATCH($A49,Scherpenzeel!$C$4:$C$103,0)),"")&lt;&gt;"",IFERROR(INDEX(Scherpenzeel!$E$4:$E$103,MATCH($A49,Scherpenzeel!$C$4:$C$103,0)),""),IF(IFERROR(INDEX('4'!$E$4:$E$103,MATCH($A49,'4'!$C$4:$C$103,0)),"")&lt;&gt;"",IFERROR(INDEX('4'!$E$4:$E$103,MATCH($A49,'4'!$C$4:$C$103,0)),""),IFERROR(INDEX('5'!$E$4:$E$103,MATCH($A49,'5'!$C$4:$C$103,0)),""))))))</f>
        <v>KNWU Licentie (Plus)</v>
      </c>
      <c r="D49" s="24">
        <f>IF($A49="","",IFERROR(INDEX(Barneveld!$A$4:$A$36,MATCH($A49,Barneveld!$C$4:$C$36,0)),""))</f>
        <v>22</v>
      </c>
      <c r="E49" s="15">
        <f>IF($A49="",0,IFERROR(INDEX(Barneveld!$H$4:$H$36,MATCH($A49,Barneveld!$C$4:$C$36,0)),0))</f>
        <v>20</v>
      </c>
      <c r="F49" s="24" t="str">
        <f>IF($A49="","",IFERROR(INDEX(Baarn!$A$4:$A$38,MATCH($A49,Baarn!$C$4:$C$38,0)),""))</f>
        <v/>
      </c>
      <c r="G49" s="15">
        <f>IF($A49="",0,IFERROR(INDEX(Baarn!$I$4:$I$38,MATCH($A49,Baarn!$C$4:$C$38,0)),0))</f>
        <v>0</v>
      </c>
      <c r="H49" s="24" t="str">
        <f>IF($A49="","",IFERROR(INDEX(Scherpenzeel!$A$4:$A$103,MATCH($A49,Scherpenzeel!$C$4:$C$103,0)),""))</f>
        <v>DNF</v>
      </c>
      <c r="I49" s="15">
        <f>IF($A49="",0,IFERROR(INDEX(Scherpenzeel!$I$4:$I$103,MATCH($A49,Scherpenzeel!$C$4:$C$103,0)),0))</f>
        <v>1</v>
      </c>
      <c r="J49" s="24" t="str">
        <f>IF($A49="","",IFERROR(INDEX('4'!$A$4:$A$103,MATCH($A49,'4'!$C$4:$C$103,0)),""))</f>
        <v/>
      </c>
      <c r="K49" s="15">
        <f>IF($A49="",0,IFERROR(INDEX('4'!$I$4:$I$103,MATCH($A49,'4'!$C$4:$C$103,0)),0))</f>
        <v>0</v>
      </c>
      <c r="L49" s="24" t="str">
        <f>IF($A49="","",IFERROR(INDEX('5'!$A$4:$A$103,MATCH($A49,'5'!$C$4:$C$103,0)),""))</f>
        <v/>
      </c>
      <c r="M49" s="15">
        <f>IF($A49="",0,IFERROR(INDEX('5'!$I$4:$I$103,MATCH($A49,'5'!$C$4:$C$103,0)),0))</f>
        <v>0</v>
      </c>
      <c r="N49" s="25">
        <f>IF($A49="","",E49+G49+I49+K49+M49)</f>
        <v>21</v>
      </c>
      <c r="O49" s="26">
        <f>IF(OR($A49="",N49="",N49=0),"",RANK(N49,$N$4:$N$203,0))</f>
        <v>46</v>
      </c>
      <c r="AA49" t="str">
        <f>Baarn!C19</f>
        <v>Freek Valkonet</v>
      </c>
      <c r="AB49">
        <f>IF(AA49="",0,IF(COUNTIF($AA$1:AA49,AA49)=1,1,0))</f>
        <v>1</v>
      </c>
      <c r="AC49">
        <f>IF(AB49=1,COUNTIF($AB$1:AB49,1),"")</f>
        <v>41</v>
      </c>
    </row>
    <row r="50" spans="1:29" x14ac:dyDescent="0.25">
      <c r="A50" s="13" t="str">
        <f>IFERROR(INDEX($AA$1:$AA$368,MATCH(31,$AC$1:$AC$368,0)),"")</f>
        <v>Deon Bergwerff</v>
      </c>
      <c r="B50" s="13" t="str">
        <f>IF($A50="","",IF(IFERROR(INDEX(Barneveld!$E$4:$E$36,MATCH($A50,Barneveld!$C$4:$C$36,0)),"")&lt;&gt;"",IFERROR(INDEX(Barneveld!$E$4:$E$36,MATCH($A50,Barneveld!$C$4:$C$36,0)),""),IF(IFERROR(INDEX(Baarn!$F$4:$F$38,MATCH($A50,Baarn!$C$4:$C$38,0)),"")&lt;&gt;"",IFERROR(INDEX(Baarn!$F$4:$F$38,MATCH($A50,Baarn!$C$4:$C$38,0)),""),IF(IFERROR(INDEX(Scherpenzeel!$F$4:$F$103,MATCH($A50,Scherpenzeel!$C$4:$C$103,0)),"")&lt;&gt;"",IFERROR(INDEX(Scherpenzeel!$F$4:$F$103,MATCH($A50,Scherpenzeel!$C$4:$C$103,0)),""),IF(IFERROR(INDEX('4'!$F$4:$F$103,MATCH($A50,'4'!$C$4:$C$103,0)),"")&lt;&gt;"",IFERROR(INDEX('4'!$F$4:$F$103,MATCH($A50,'4'!$C$4:$C$103,0)),""),IFERROR(INDEX('5'!$F$4:$F$103,MATCH($A50,'5'!$C$4:$C$103,0)),""))))))</f>
        <v>WV de Valleirenners AXA</v>
      </c>
      <c r="C50" s="13" t="str">
        <f>IF($A50="","",IF(IFERROR(INDEX(Barneveld!$D$4:$D$36,MATCH($A50,Barneveld!$C$4:$C$36,0)),"")&lt;&gt;"",IFERROR(INDEX(Barneveld!$D$4:$D$36,MATCH($A50,Barneveld!$C$4:$C$36,0)),""),IF(IFERROR(INDEX(Baarn!$E$4:$E$38,MATCH($A50,Baarn!$C$4:$C$38,0)),"")&lt;&gt;"",IFERROR(INDEX(Baarn!$E$4:$E$38,MATCH($A50,Baarn!$C$4:$C$38,0)),""),IF(IFERROR(INDEX(Scherpenzeel!$E$4:$E$103,MATCH($A50,Scherpenzeel!$C$4:$C$103,0)),"")&lt;&gt;"",IFERROR(INDEX(Scherpenzeel!$E$4:$E$103,MATCH($A50,Scherpenzeel!$C$4:$C$103,0)),""),IF(IFERROR(INDEX('4'!$E$4:$E$103,MATCH($A50,'4'!$C$4:$C$103,0)),"")&lt;&gt;"",IFERROR(INDEX('4'!$E$4:$E$103,MATCH($A50,'4'!$C$4:$C$103,0)),""),IFERROR(INDEX('5'!$E$4:$E$103,MATCH($A50,'5'!$C$4:$C$103,0)),""))))))</f>
        <v>Junior (U19)</v>
      </c>
      <c r="D50" s="24" t="str">
        <f>IF($A50="","",IFERROR(INDEX(Barneveld!$A$4:$A$36,MATCH($A50,Barneveld!$C$4:$C$36,0)),""))</f>
        <v>DNF</v>
      </c>
      <c r="E50" s="15">
        <f>IF($A50="",0,IFERROR(INDEX(Barneveld!$H$4:$H$36,MATCH($A50,Barneveld!$C$4:$C$36,0)),0))</f>
        <v>1</v>
      </c>
      <c r="F50" s="24">
        <f>IF($A50="","",IFERROR(INDEX(Baarn!$A$4:$A$38,MATCH($A50,Baarn!$C$4:$C$38,0)),""))</f>
        <v>23</v>
      </c>
      <c r="G50" s="15">
        <f>IF($A50="",0,IFERROR(INDEX(Baarn!$I$4:$I$38,MATCH($A50,Baarn!$C$4:$C$38,0)),0))</f>
        <v>16</v>
      </c>
      <c r="H50" s="24" t="str">
        <f>IF($A50="","",IFERROR(INDEX(Scherpenzeel!$A$4:$A$103,MATCH($A50,Scherpenzeel!$C$4:$C$103,0)),""))</f>
        <v>29</v>
      </c>
      <c r="I50" s="15">
        <v>4</v>
      </c>
      <c r="J50" s="24" t="str">
        <f>IF($A50="","",IFERROR(INDEX('4'!$A$4:$A$103,MATCH($A50,'4'!$C$4:$C$103,0)),""))</f>
        <v/>
      </c>
      <c r="K50" s="15">
        <f>IF($A50="",0,IFERROR(INDEX('4'!$I$4:$I$103,MATCH($A50,'4'!$C$4:$C$103,0)),0))</f>
        <v>0</v>
      </c>
      <c r="L50" s="24" t="str">
        <f>IF($A50="","",IFERROR(INDEX('5'!$A$4:$A$103,MATCH($A50,'5'!$C$4:$C$103,0)),""))</f>
        <v/>
      </c>
      <c r="M50" s="15">
        <f>IF($A50="",0,IFERROR(INDEX('5'!$I$4:$I$103,MATCH($A50,'5'!$C$4:$C$103,0)),0))</f>
        <v>0</v>
      </c>
      <c r="N50" s="25">
        <f>IF($A50="","",E50+G50+I50+K50+M50)</f>
        <v>21</v>
      </c>
      <c r="O50" s="26">
        <f>IF(OR($A50="",N50="",N50=0),"",RANK(N50,$N$4:$N$203,0))</f>
        <v>46</v>
      </c>
      <c r="AA50" t="str">
        <f>Baarn!C20</f>
        <v>Peter Jansen</v>
      </c>
      <c r="AB50">
        <f>IF(AA50="",0,IF(COUNTIF($AA$1:AA50,AA50)=1,1,0))</f>
        <v>1</v>
      </c>
      <c r="AC50">
        <f>IF(AB50=1,COUNTIF($AB$1:AB50,1),"")</f>
        <v>42</v>
      </c>
    </row>
    <row r="51" spans="1:29" x14ac:dyDescent="0.25">
      <c r="A51" s="13" t="str">
        <f>IFERROR(INDEX($AA$1:$AA$368,MATCH(56,$AC$1:$AC$368,0)),"")</f>
        <v>Frans Hoveijn</v>
      </c>
      <c r="B51" s="13" t="str">
        <f>IF($A51="","",IF(IFERROR(INDEX(Barneveld!$E$4:$E$36,MATCH($A51,Barneveld!$C$4:$C$36,0)),"")&lt;&gt;"",IFERROR(INDEX(Barneveld!$E$4:$E$36,MATCH($A51,Barneveld!$C$4:$C$36,0)),""),IF(IFERROR(INDEX(Baarn!$F$4:$F$38,MATCH($A51,Baarn!$C$4:$C$38,0)),"")&lt;&gt;"",IFERROR(INDEX(Baarn!$F$4:$F$38,MATCH($A51,Baarn!$C$4:$C$38,0)),""),IF(IFERROR(INDEX(Scherpenzeel!$F$4:$F$103,MATCH($A51,Scherpenzeel!$C$4:$C$103,0)),"")&lt;&gt;"",IFERROR(INDEX(Scherpenzeel!$F$4:$F$103,MATCH($A51,Scherpenzeel!$C$4:$C$103,0)),""),IF(IFERROR(INDEX('4'!$F$4:$F$103,MATCH($A51,'4'!$C$4:$C$103,0)),"")&lt;&gt;"",IFERROR(INDEX('4'!$F$4:$F$103,MATCH($A51,'4'!$C$4:$C$103,0)),""),IFERROR(INDEX('5'!$F$4:$F$103,MATCH($A51,'5'!$C$4:$C$103,0)),""))))))</f>
        <v>Team DFM</v>
      </c>
      <c r="C51" s="13" t="str">
        <f>IF($A51="","",IF(IFERROR(INDEX(Barneveld!$D$4:$D$36,MATCH($A51,Barneveld!$C$4:$C$36,0)),"")&lt;&gt;"",IFERROR(INDEX(Barneveld!$D$4:$D$36,MATCH($A51,Barneveld!$C$4:$C$36,0)),""),IF(IFERROR(INDEX(Baarn!$E$4:$E$38,MATCH($A51,Baarn!$C$4:$C$38,0)),"")&lt;&gt;"",IFERROR(INDEX(Baarn!$E$4:$E$38,MATCH($A51,Baarn!$C$4:$C$38,0)),""),IF(IFERROR(INDEX(Scherpenzeel!$E$4:$E$103,MATCH($A51,Scherpenzeel!$C$4:$C$103,0)),"")&lt;&gt;"",IFERROR(INDEX(Scherpenzeel!$E$4:$E$103,MATCH($A51,Scherpenzeel!$C$4:$C$103,0)),""),IF(IFERROR(INDEX('4'!$E$4:$E$103,MATCH($A51,'4'!$C$4:$C$103,0)),"")&lt;&gt;"",IFERROR(INDEX('4'!$E$4:$E$103,MATCH($A51,'4'!$C$4:$C$103,0)),""),IFERROR(INDEX('5'!$E$4:$E$103,MATCH($A51,'5'!$C$4:$C$103,0)),""))))))</f>
        <v>KNWU Licentie (Plus)</v>
      </c>
      <c r="D51" s="24" t="str">
        <f>IF($A51="","",IFERROR(INDEX(Barneveld!$A$4:$A$36,MATCH($A51,Barneveld!$C$4:$C$36,0)),""))</f>
        <v/>
      </c>
      <c r="E51" s="15">
        <f>IF($A51="",0,IFERROR(INDEX(Barneveld!$H$4:$H$36,MATCH($A51,Barneveld!$C$4:$C$36,0)),0))</f>
        <v>0</v>
      </c>
      <c r="F51" s="24" t="str">
        <f>IF($A51="","",IFERROR(INDEX(Baarn!$A$4:$A$38,MATCH($A51,Baarn!$C$4:$C$38,0)),""))</f>
        <v/>
      </c>
      <c r="G51" s="15">
        <f>IF($A51="",0,IFERROR(INDEX(Baarn!$I$4:$I$38,MATCH($A51,Baarn!$C$4:$C$38,0)),0))</f>
        <v>0</v>
      </c>
      <c r="H51" s="24" t="str">
        <f>IF($A51="","",IFERROR(INDEX(Scherpenzeel!$A$4:$A$103,MATCH($A51,Scherpenzeel!$C$4:$C$103,0)),""))</f>
        <v>22</v>
      </c>
      <c r="I51" s="15">
        <v>20</v>
      </c>
      <c r="J51" s="24" t="str">
        <f>IF($A51="","",IFERROR(INDEX('4'!$A$4:$A$103,MATCH($A51,'4'!$C$4:$C$103,0)),""))</f>
        <v/>
      </c>
      <c r="K51" s="15">
        <f>IF($A51="",0,IFERROR(INDEX('4'!$I$4:$I$103,MATCH($A51,'4'!$C$4:$C$103,0)),0))</f>
        <v>0</v>
      </c>
      <c r="L51" s="24" t="str">
        <f>IF($A51="","",IFERROR(INDEX('5'!$A$4:$A$103,MATCH($A51,'5'!$C$4:$C$103,0)),""))</f>
        <v/>
      </c>
      <c r="M51" s="15">
        <f>IF($A51="",0,IFERROR(INDEX('5'!$I$4:$I$103,MATCH($A51,'5'!$C$4:$C$103,0)),0))</f>
        <v>0</v>
      </c>
      <c r="N51" s="25">
        <f>IF($A51="","",E51+G51+I51+K51+M51)</f>
        <v>20</v>
      </c>
      <c r="O51" s="26">
        <f>IF(OR($A51="",N51="",N51=0),"",RANK(N51,$N$4:$N$203,0))</f>
        <v>48</v>
      </c>
      <c r="AA51" t="str">
        <f>Baarn!C21</f>
        <v>Ron Bol</v>
      </c>
      <c r="AB51">
        <f>IF(AA51="",0,IF(COUNTIF($AA$1:AA51,AA51)=1,1,0))</f>
        <v>0</v>
      </c>
      <c r="AC51" t="str">
        <f>IF(AB51=1,COUNTIF($AB$1:AB51,1),"")</f>
        <v/>
      </c>
    </row>
    <row r="52" spans="1:29" x14ac:dyDescent="0.25">
      <c r="A52" s="13" t="str">
        <f>IFERROR(INDEX($AA$1:$AA$368,MATCH(57,$AC$1:$AC$368,0)),"")</f>
        <v>Patrick Stengs</v>
      </c>
      <c r="B52" s="13" t="str">
        <f>IF($A52="","",IF(IFERROR(INDEX(Barneveld!$E$4:$E$36,MATCH($A52,Barneveld!$C$4:$C$36,0)),"")&lt;&gt;"",IFERROR(INDEX(Barneveld!$E$4:$E$36,MATCH($A52,Barneveld!$C$4:$C$36,0)),""),IF(IFERROR(INDEX(Baarn!$F$4:$F$38,MATCH($A52,Baarn!$C$4:$C$38,0)),"")&lt;&gt;"",IFERROR(INDEX(Baarn!$F$4:$F$38,MATCH($A52,Baarn!$C$4:$C$38,0)),""),IF(IFERROR(INDEX(Scherpenzeel!$F$4:$F$103,MATCH($A52,Scherpenzeel!$C$4:$C$103,0)),"")&lt;&gt;"",IFERROR(INDEX(Scherpenzeel!$F$4:$F$103,MATCH($A52,Scherpenzeel!$C$4:$C$103,0)),""),IF(IFERROR(INDEX('4'!$F$4:$F$103,MATCH($A52,'4'!$C$4:$C$103,0)),"")&lt;&gt;"",IFERROR(INDEX('4'!$F$4:$F$103,MATCH($A52,'4'!$C$4:$C$103,0)),""),IFERROR(INDEX('5'!$F$4:$F$103,MATCH($A52,'5'!$C$4:$C$103,0)),""))))))</f>
        <v>West Frisia</v>
      </c>
      <c r="C52" s="13" t="str">
        <f>IF($A52="","",IF(IFERROR(INDEX(Barneveld!$D$4:$D$36,MATCH($A52,Barneveld!$C$4:$C$36,0)),"")&lt;&gt;"",IFERROR(INDEX(Barneveld!$D$4:$D$36,MATCH($A52,Barneveld!$C$4:$C$36,0)),""),IF(IFERROR(INDEX(Baarn!$E$4:$E$38,MATCH($A52,Baarn!$C$4:$C$38,0)),"")&lt;&gt;"",IFERROR(INDEX(Baarn!$E$4:$E$38,MATCH($A52,Baarn!$C$4:$C$38,0)),""),IF(IFERROR(INDEX(Scherpenzeel!$E$4:$E$103,MATCH($A52,Scherpenzeel!$C$4:$C$103,0)),"")&lt;&gt;"",IFERROR(INDEX(Scherpenzeel!$E$4:$E$103,MATCH($A52,Scherpenzeel!$C$4:$C$103,0)),""),IF(IFERROR(INDEX('4'!$E$4:$E$103,MATCH($A52,'4'!$C$4:$C$103,0)),"")&lt;&gt;"",IFERROR(INDEX('4'!$E$4:$E$103,MATCH($A52,'4'!$C$4:$C$103,0)),""),IFERROR(INDEX('5'!$E$4:$E$103,MATCH($A52,'5'!$C$4:$C$103,0)),""))))))</f>
        <v>KNWU Licentie (Plus)</v>
      </c>
      <c r="D52" s="24" t="str">
        <f>IF($A52="","",IFERROR(INDEX(Barneveld!$A$4:$A$36,MATCH($A52,Barneveld!$C$4:$C$36,0)),""))</f>
        <v/>
      </c>
      <c r="E52" s="15">
        <f>IF($A52="",0,IFERROR(INDEX(Barneveld!$H$4:$H$36,MATCH($A52,Barneveld!$C$4:$C$36,0)),0))</f>
        <v>0</v>
      </c>
      <c r="F52" s="24" t="str">
        <f>IF($A52="","",IFERROR(INDEX(Baarn!$A$4:$A$38,MATCH($A52,Baarn!$C$4:$C$38,0)),""))</f>
        <v/>
      </c>
      <c r="G52" s="15">
        <f>IF($A52="",0,IFERROR(INDEX(Baarn!$I$4:$I$38,MATCH($A52,Baarn!$C$4:$C$38,0)),0))</f>
        <v>0</v>
      </c>
      <c r="H52" s="24" t="str">
        <f>IF($A52="","",IFERROR(INDEX(Scherpenzeel!$A$4:$A$103,MATCH($A52,Scherpenzeel!$C$4:$C$103,0)),""))</f>
        <v>23</v>
      </c>
      <c r="I52" s="15">
        <v>16</v>
      </c>
      <c r="J52" s="24" t="str">
        <f>IF($A52="","",IFERROR(INDEX('4'!$A$4:$A$103,MATCH($A52,'4'!$C$4:$C$103,0)),""))</f>
        <v/>
      </c>
      <c r="K52" s="15">
        <f>IF($A52="",0,IFERROR(INDEX('4'!$I$4:$I$103,MATCH($A52,'4'!$C$4:$C$103,0)),0))</f>
        <v>0</v>
      </c>
      <c r="L52" s="24" t="str">
        <f>IF($A52="","",IFERROR(INDEX('5'!$A$4:$A$103,MATCH($A52,'5'!$C$4:$C$103,0)),""))</f>
        <v/>
      </c>
      <c r="M52" s="15">
        <f>IF($A52="",0,IFERROR(INDEX('5'!$I$4:$I$103,MATCH($A52,'5'!$C$4:$C$103,0)),0))</f>
        <v>0</v>
      </c>
      <c r="N52" s="25">
        <f>IF($A52="","",E52+G52+I52+K52+M52)</f>
        <v>16</v>
      </c>
      <c r="O52" s="26">
        <f>IF(OR($A52="",N52="",N52=0),"",RANK(N52,$N$4:$N$203,0))</f>
        <v>49</v>
      </c>
      <c r="AA52" t="str">
        <f>Baarn!C22</f>
        <v>Mick de Rooij</v>
      </c>
      <c r="AB52">
        <f>IF(AA52="",0,IF(COUNTIF($AA$1:AA52,AA52)=1,1,0))</f>
        <v>1</v>
      </c>
      <c r="AC52">
        <f>IF(AB52=1,COUNTIF($AB$1:AB52,1),"")</f>
        <v>43</v>
      </c>
    </row>
    <row r="53" spans="1:29" x14ac:dyDescent="0.25">
      <c r="A53" s="13" t="str">
        <f>IFERROR(INDEX($AA$1:$AA$368,MATCH(24,$AC$1:$AC$368,0)),"")</f>
        <v>Jelmer Groen</v>
      </c>
      <c r="B53" s="13" t="str">
        <f>IF($A53="","",IF(IFERROR(INDEX(Barneveld!$E$4:$E$36,MATCH($A53,Barneveld!$C$4:$C$36,0)),"")&lt;&gt;"",IFERROR(INDEX(Barneveld!$E$4:$E$36,MATCH($A53,Barneveld!$C$4:$C$36,0)),""),IF(IFERROR(INDEX(Baarn!$F$4:$F$38,MATCH($A53,Baarn!$C$4:$C$38,0)),"")&lt;&gt;"",IFERROR(INDEX(Baarn!$F$4:$F$38,MATCH($A53,Baarn!$C$4:$C$38,0)),""),IF(IFERROR(INDEX(Scherpenzeel!$F$4:$F$103,MATCH($A53,Scherpenzeel!$C$4:$C$103,0)),"")&lt;&gt;"",IFERROR(INDEX(Scherpenzeel!$F$4:$F$103,MATCH($A53,Scherpenzeel!$C$4:$C$103,0)),""),IF(IFERROR(INDEX('4'!$F$4:$F$103,MATCH($A53,'4'!$C$4:$C$103,0)),"")&lt;&gt;"",IFERROR(INDEX('4'!$F$4:$F$103,MATCH($A53,'4'!$C$4:$C$103,0)),""),IFERROR(INDEX('5'!$F$4:$F$103,MATCH($A53,'5'!$C$4:$C$103,0)),""))))))</f>
        <v/>
      </c>
      <c r="C53" s="13" t="str">
        <f>IF($A53="","",IF(IFERROR(INDEX(Barneveld!$D$4:$D$36,MATCH($A53,Barneveld!$C$4:$C$36,0)),"")&lt;&gt;"",IFERROR(INDEX(Barneveld!$D$4:$D$36,MATCH($A53,Barneveld!$C$4:$C$36,0)),""),IF(IFERROR(INDEX(Baarn!$E$4:$E$38,MATCH($A53,Baarn!$C$4:$C$38,0)),"")&lt;&gt;"",IFERROR(INDEX(Baarn!$E$4:$E$38,MATCH($A53,Baarn!$C$4:$C$38,0)),""),IF(IFERROR(INDEX(Scherpenzeel!$E$4:$E$103,MATCH($A53,Scherpenzeel!$C$4:$C$103,0)),"")&lt;&gt;"",IFERROR(INDEX(Scherpenzeel!$E$4:$E$103,MATCH($A53,Scherpenzeel!$C$4:$C$103,0)),""),IF(IFERROR(INDEX('4'!$E$4:$E$103,MATCH($A53,'4'!$C$4:$C$103,0)),"")&lt;&gt;"",IFERROR(INDEX('4'!$E$4:$E$103,MATCH($A53,'4'!$C$4:$C$103,0)),""),IFERROR(INDEX('5'!$E$4:$E$103,MATCH($A53,'5'!$C$4:$C$103,0)),""))))))</f>
        <v>KNWU Licentie (Plus)</v>
      </c>
      <c r="D53" s="24">
        <f>IF($A53="","",IFERROR(INDEX(Barneveld!$A$4:$A$36,MATCH($A53,Barneveld!$C$4:$C$36,0)),""))</f>
        <v>24</v>
      </c>
      <c r="E53" s="15">
        <f>IF($A53="",0,IFERROR(INDEX(Barneveld!$H$4:$H$36,MATCH($A53,Barneveld!$C$4:$C$36,0)),0))</f>
        <v>14</v>
      </c>
      <c r="F53" s="24" t="str">
        <f>IF($A53="","",IFERROR(INDEX(Baarn!$A$4:$A$38,MATCH($A53,Baarn!$C$4:$C$38,0)),""))</f>
        <v/>
      </c>
      <c r="G53" s="15">
        <f>IF($A53="",0,IFERROR(INDEX(Baarn!$I$4:$I$38,MATCH($A53,Baarn!$C$4:$C$38,0)),0))</f>
        <v>0</v>
      </c>
      <c r="H53" s="24" t="str">
        <f>IF($A53="","",IFERROR(INDEX(Scherpenzeel!$A$4:$A$103,MATCH($A53,Scherpenzeel!$C$4:$C$103,0)),""))</f>
        <v/>
      </c>
      <c r="I53" s="15">
        <f>IF($A53="",0,IFERROR(INDEX(Scherpenzeel!$I$4:$I$103,MATCH($A53,Scherpenzeel!$C$4:$C$103,0)),0))</f>
        <v>0</v>
      </c>
      <c r="J53" s="24" t="str">
        <f>IF($A53="","",IFERROR(INDEX('4'!$A$4:$A$103,MATCH($A53,'4'!$C$4:$C$103,0)),""))</f>
        <v/>
      </c>
      <c r="K53" s="15">
        <f>IF($A53="",0,IFERROR(INDEX('4'!$I$4:$I$103,MATCH($A53,'4'!$C$4:$C$103,0)),0))</f>
        <v>0</v>
      </c>
      <c r="L53" s="24" t="str">
        <f>IF($A53="","",IFERROR(INDEX('5'!$A$4:$A$103,MATCH($A53,'5'!$C$4:$C$103,0)),""))</f>
        <v/>
      </c>
      <c r="M53" s="15">
        <f>IF($A53="",0,IFERROR(INDEX('5'!$I$4:$I$103,MATCH($A53,'5'!$C$4:$C$103,0)),0))</f>
        <v>0</v>
      </c>
      <c r="N53" s="25">
        <f>IF($A53="","",E53+G53+I53+K53+M53)</f>
        <v>14</v>
      </c>
      <c r="O53" s="26">
        <f>IF(OR($A53="",N53="",N53=0),"",RANK(N53,$N$4:$N$203,0))</f>
        <v>50</v>
      </c>
      <c r="AA53" t="str">
        <f>Baarn!C23</f>
        <v>Jaap Mekenkamp</v>
      </c>
      <c r="AB53">
        <f>IF(AA53="",0,IF(COUNTIF($AA$1:AA53,AA53)=1,1,0))</f>
        <v>1</v>
      </c>
      <c r="AC53">
        <f>IF(AB53=1,COUNTIF($AB$1:AB53,1),"")</f>
        <v>44</v>
      </c>
    </row>
    <row r="54" spans="1:29" x14ac:dyDescent="0.25">
      <c r="A54" s="13" t="str">
        <f>IFERROR(INDEX($AA$1:$AA$368,MATCH(58,$AC$1:$AC$368,0)),"")</f>
        <v>Bas Visser</v>
      </c>
      <c r="B54" s="13" t="str">
        <f>IF($A54="","",IF(IFERROR(INDEX(Barneveld!$E$4:$E$36,MATCH($A54,Barneveld!$C$4:$C$36,0)),"")&lt;&gt;"",IFERROR(INDEX(Barneveld!$E$4:$E$36,MATCH($A54,Barneveld!$C$4:$C$36,0)),""),IF(IFERROR(INDEX(Baarn!$F$4:$F$38,MATCH($A54,Baarn!$C$4:$C$38,0)),"")&lt;&gt;"",IFERROR(INDEX(Baarn!$F$4:$F$38,MATCH($A54,Baarn!$C$4:$C$38,0)),""),IF(IFERROR(INDEX(Scherpenzeel!$F$4:$F$103,MATCH($A54,Scherpenzeel!$C$4:$C$103,0)),"")&lt;&gt;"",IFERROR(INDEX(Scherpenzeel!$F$4:$F$103,MATCH($A54,Scherpenzeel!$C$4:$C$103,0)),""),IF(IFERROR(INDEX('4'!$F$4:$F$103,MATCH($A54,'4'!$C$4:$C$103,0)),"")&lt;&gt;"",IFERROR(INDEX('4'!$F$4:$F$103,MATCH($A54,'4'!$C$4:$C$103,0)),""),IFERROR(INDEX('5'!$F$4:$F$103,MATCH($A54,'5'!$C$4:$C$103,0)),""))))))</f>
        <v>USWV De Domrenner</v>
      </c>
      <c r="C54" s="13" t="str">
        <f>IF($A54="","",IF(IFERROR(INDEX(Barneveld!$D$4:$D$36,MATCH($A54,Barneveld!$C$4:$C$36,0)),"")&lt;&gt;"",IFERROR(INDEX(Barneveld!$D$4:$D$36,MATCH($A54,Barneveld!$C$4:$C$36,0)),""),IF(IFERROR(INDEX(Baarn!$E$4:$E$38,MATCH($A54,Baarn!$C$4:$C$38,0)),"")&lt;&gt;"",IFERROR(INDEX(Baarn!$E$4:$E$38,MATCH($A54,Baarn!$C$4:$C$38,0)),""),IF(IFERROR(INDEX(Scherpenzeel!$E$4:$E$103,MATCH($A54,Scherpenzeel!$C$4:$C$103,0)),"")&lt;&gt;"",IFERROR(INDEX(Scherpenzeel!$E$4:$E$103,MATCH($A54,Scherpenzeel!$C$4:$C$103,0)),""),IF(IFERROR(INDEX('4'!$E$4:$E$103,MATCH($A54,'4'!$C$4:$C$103,0)),"")&lt;&gt;"",IFERROR(INDEX('4'!$E$4:$E$103,MATCH($A54,'4'!$C$4:$C$103,0)),""),IFERROR(INDEX('5'!$E$4:$E$103,MATCH($A54,'5'!$C$4:$C$103,0)),""))))))</f>
        <v>KNWU Licentie (Plus)</v>
      </c>
      <c r="D54" s="24" t="str">
        <f>IF($A54="","",IFERROR(INDEX(Barneveld!$A$4:$A$36,MATCH($A54,Barneveld!$C$4:$C$36,0)),""))</f>
        <v/>
      </c>
      <c r="E54" s="15">
        <f>IF($A54="",0,IFERROR(INDEX(Barneveld!$H$4:$H$36,MATCH($A54,Barneveld!$C$4:$C$36,0)),0))</f>
        <v>0</v>
      </c>
      <c r="F54" s="24" t="str">
        <f>IF($A54="","",IFERROR(INDEX(Baarn!$A$4:$A$38,MATCH($A54,Baarn!$C$4:$C$38,0)),""))</f>
        <v/>
      </c>
      <c r="G54" s="15">
        <f>IF($A54="",0,IFERROR(INDEX(Baarn!$I$4:$I$38,MATCH($A54,Baarn!$C$4:$C$38,0)),0))</f>
        <v>0</v>
      </c>
      <c r="H54" s="24" t="str">
        <f>IF($A54="","",IFERROR(INDEX(Scherpenzeel!$A$4:$A$103,MATCH($A54,Scherpenzeel!$C$4:$C$103,0)),""))</f>
        <v>24</v>
      </c>
      <c r="I54" s="15">
        <v>14</v>
      </c>
      <c r="J54" s="24" t="str">
        <f>IF($A54="","",IFERROR(INDEX('4'!$A$4:$A$103,MATCH($A54,'4'!$C$4:$C$103,0)),""))</f>
        <v/>
      </c>
      <c r="K54" s="15">
        <f>IF($A54="",0,IFERROR(INDEX('4'!$I$4:$I$103,MATCH($A54,'4'!$C$4:$C$103,0)),0))</f>
        <v>0</v>
      </c>
      <c r="L54" s="24" t="str">
        <f>IF($A54="","",IFERROR(INDEX('5'!$A$4:$A$103,MATCH($A54,'5'!$C$4:$C$103,0)),""))</f>
        <v/>
      </c>
      <c r="M54" s="15">
        <f>IF($A54="",0,IFERROR(INDEX('5'!$I$4:$I$103,MATCH($A54,'5'!$C$4:$C$103,0)),0))</f>
        <v>0</v>
      </c>
      <c r="N54" s="25">
        <f>IF($A54="","",E54+G54+I54+K54+M54)</f>
        <v>14</v>
      </c>
      <c r="O54" s="26">
        <f>IF(OR($A54="",N54="",N54=0),"",RANK(N54,$N$4:$N$203,0))</f>
        <v>50</v>
      </c>
      <c r="AA54" t="str">
        <f>Baarn!C24</f>
        <v>Rens Thomassen</v>
      </c>
      <c r="AB54">
        <f>IF(AA54="",0,IF(COUNTIF($AA$1:AA54,AA54)=1,1,0))</f>
        <v>1</v>
      </c>
      <c r="AC54">
        <f>IF(AB54=1,COUNTIF($AB$1:AB54,1),"")</f>
        <v>45</v>
      </c>
    </row>
    <row r="55" spans="1:29" x14ac:dyDescent="0.25">
      <c r="A55" s="13" t="str">
        <f>IFERROR(INDEX($AA$1:$AA$368,MATCH(25,$AC$1:$AC$368,0)),"")</f>
        <v>Jan de Graaf</v>
      </c>
      <c r="B55" s="13" t="str">
        <f>IF($A55="","",IF(IFERROR(INDEX(Barneveld!$E$4:$E$36,MATCH($A55,Barneveld!$C$4:$C$36,0)),"")&lt;&gt;"",IFERROR(INDEX(Barneveld!$E$4:$E$36,MATCH($A55,Barneveld!$C$4:$C$36,0)),""),IF(IFERROR(INDEX(Baarn!$F$4:$F$38,MATCH($A55,Baarn!$C$4:$C$38,0)),"")&lt;&gt;"",IFERROR(INDEX(Baarn!$F$4:$F$38,MATCH($A55,Baarn!$C$4:$C$38,0)),""),IF(IFERROR(INDEX(Scherpenzeel!$F$4:$F$103,MATCH($A55,Scherpenzeel!$C$4:$C$103,0)),"")&lt;&gt;"",IFERROR(INDEX(Scherpenzeel!$F$4:$F$103,MATCH($A55,Scherpenzeel!$C$4:$C$103,0)),""),IF(IFERROR(INDEX('4'!$F$4:$F$103,MATCH($A55,'4'!$C$4:$C$103,0)),"")&lt;&gt;"",IFERROR(INDEX('4'!$F$4:$F$103,MATCH($A55,'4'!$C$4:$C$103,0)),""),IFERROR(INDEX('5'!$F$4:$F$103,MATCH($A55,'5'!$C$4:$C$103,0)),""))))))</f>
        <v/>
      </c>
      <c r="C55" s="13" t="str">
        <f>IF($A55="","",IF(IFERROR(INDEX(Barneveld!$D$4:$D$36,MATCH($A55,Barneveld!$C$4:$C$36,0)),"")&lt;&gt;"",IFERROR(INDEX(Barneveld!$D$4:$D$36,MATCH($A55,Barneveld!$C$4:$C$36,0)),""),IF(IFERROR(INDEX(Baarn!$E$4:$E$38,MATCH($A55,Baarn!$C$4:$C$38,0)),"")&lt;&gt;"",IFERROR(INDEX(Baarn!$E$4:$E$38,MATCH($A55,Baarn!$C$4:$C$38,0)),""),IF(IFERROR(INDEX(Scherpenzeel!$E$4:$E$103,MATCH($A55,Scherpenzeel!$C$4:$C$103,0)),"")&lt;&gt;"",IFERROR(INDEX(Scherpenzeel!$E$4:$E$103,MATCH($A55,Scherpenzeel!$C$4:$C$103,0)),""),IF(IFERROR(INDEX('4'!$E$4:$E$103,MATCH($A55,'4'!$C$4:$C$103,0)),"")&lt;&gt;"",IFERROR(INDEX('4'!$E$4:$E$103,MATCH($A55,'4'!$C$4:$C$103,0)),""),IFERROR(INDEX('5'!$E$4:$E$103,MATCH($A55,'5'!$C$4:$C$103,0)),""))))))</f>
        <v>KNWU Licentie (Plus)</v>
      </c>
      <c r="D55" s="24">
        <f>IF($A55="","",IFERROR(INDEX(Barneveld!$A$4:$A$36,MATCH($A55,Barneveld!$C$4:$C$36,0)),""))</f>
        <v>25</v>
      </c>
      <c r="E55" s="15">
        <f>IF($A55="",0,IFERROR(INDEX(Barneveld!$H$4:$H$36,MATCH($A55,Barneveld!$C$4:$C$36,0)),0))</f>
        <v>12</v>
      </c>
      <c r="F55" s="24" t="str">
        <f>IF($A55="","",IFERROR(INDEX(Baarn!$A$4:$A$38,MATCH($A55,Baarn!$C$4:$C$38,0)),""))</f>
        <v/>
      </c>
      <c r="G55" s="15">
        <f>IF($A55="",0,IFERROR(INDEX(Baarn!$I$4:$I$38,MATCH($A55,Baarn!$C$4:$C$38,0)),0))</f>
        <v>0</v>
      </c>
      <c r="H55" s="24" t="str">
        <f>IF($A55="","",IFERROR(INDEX(Scherpenzeel!$A$4:$A$103,MATCH($A55,Scherpenzeel!$C$4:$C$103,0)),""))</f>
        <v/>
      </c>
      <c r="I55" s="15">
        <f>IF($A55="",0,IFERROR(INDEX(Scherpenzeel!$I$4:$I$103,MATCH($A55,Scherpenzeel!$C$4:$C$103,0)),0))</f>
        <v>0</v>
      </c>
      <c r="J55" s="24" t="str">
        <f>IF($A55="","",IFERROR(INDEX('4'!$A$4:$A$103,MATCH($A55,'4'!$C$4:$C$103,0)),""))</f>
        <v/>
      </c>
      <c r="K55" s="15">
        <f>IF($A55="",0,IFERROR(INDEX('4'!$I$4:$I$103,MATCH($A55,'4'!$C$4:$C$103,0)),0))</f>
        <v>0</v>
      </c>
      <c r="L55" s="24" t="str">
        <f>IF($A55="","",IFERROR(INDEX('5'!$A$4:$A$103,MATCH($A55,'5'!$C$4:$C$103,0)),""))</f>
        <v/>
      </c>
      <c r="M55" s="15">
        <f>IF($A55="",0,IFERROR(INDEX('5'!$I$4:$I$103,MATCH($A55,'5'!$C$4:$C$103,0)),0))</f>
        <v>0</v>
      </c>
      <c r="N55" s="25">
        <f>IF($A55="","",E55+G55+I55+K55+M55)</f>
        <v>12</v>
      </c>
      <c r="O55" s="26">
        <f>IF(OR($A55="",N55="",N55=0),"",RANK(N55,$N$4:$N$203,0))</f>
        <v>52</v>
      </c>
      <c r="AA55" t="str">
        <f>Baarn!C25</f>
        <v>Julian Dingemans</v>
      </c>
      <c r="AB55">
        <f>IF(AA55="",0,IF(COUNTIF($AA$1:AA55,AA55)=1,1,0))</f>
        <v>0</v>
      </c>
      <c r="AC55" t="str">
        <f>IF(AB55=1,COUNTIF($AB$1:AB55,1),"")</f>
        <v/>
      </c>
    </row>
    <row r="56" spans="1:29" x14ac:dyDescent="0.25">
      <c r="A56" s="13" t="str">
        <f>IFERROR(INDEX($AA$1:$AA$368,MATCH(59,$AC$1:$AC$368,0)),"")</f>
        <v>Dik van de Koolwijk</v>
      </c>
      <c r="B56" s="13" t="str">
        <f>IF($A56="","",IF(IFERROR(INDEX(Barneveld!$E$4:$E$36,MATCH($A56,Barneveld!$C$4:$C$36,0)),"")&lt;&gt;"",IFERROR(INDEX(Barneveld!$E$4:$E$36,MATCH($A56,Barneveld!$C$4:$C$36,0)),""),IF(IFERROR(INDEX(Baarn!$F$4:$F$38,MATCH($A56,Baarn!$C$4:$C$38,0)),"")&lt;&gt;"",IFERROR(INDEX(Baarn!$F$4:$F$38,MATCH($A56,Baarn!$C$4:$C$38,0)),""),IF(IFERROR(INDEX(Scherpenzeel!$F$4:$F$103,MATCH($A56,Scherpenzeel!$C$4:$C$103,0)),"")&lt;&gt;"",IFERROR(INDEX(Scherpenzeel!$F$4:$F$103,MATCH($A56,Scherpenzeel!$C$4:$C$103,0)),""),IF(IFERROR(INDEX('4'!$F$4:$F$103,MATCH($A56,'4'!$C$4:$C$103,0)),"")&lt;&gt;"",IFERROR(INDEX('4'!$F$4:$F$103,MATCH($A56,'4'!$C$4:$C$103,0)),""),IFERROR(INDEX('5'!$F$4:$F$103,MATCH($A56,'5'!$C$4:$C$103,0)),""))))))</f>
        <v>FCA Cycling team</v>
      </c>
      <c r="C56" s="13" t="str">
        <f>IF($A56="","",IF(IFERROR(INDEX(Barneveld!$D$4:$D$36,MATCH($A56,Barneveld!$C$4:$C$36,0)),"")&lt;&gt;"",IFERROR(INDEX(Barneveld!$D$4:$D$36,MATCH($A56,Barneveld!$C$4:$C$36,0)),""),IF(IFERROR(INDEX(Baarn!$E$4:$E$38,MATCH($A56,Baarn!$C$4:$C$38,0)),"")&lt;&gt;"",IFERROR(INDEX(Baarn!$E$4:$E$38,MATCH($A56,Baarn!$C$4:$C$38,0)),""),IF(IFERROR(INDEX(Scherpenzeel!$E$4:$E$103,MATCH($A56,Scherpenzeel!$C$4:$C$103,0)),"")&lt;&gt;"",IFERROR(INDEX(Scherpenzeel!$E$4:$E$103,MATCH($A56,Scherpenzeel!$C$4:$C$103,0)),""),IF(IFERROR(INDEX('4'!$E$4:$E$103,MATCH($A56,'4'!$C$4:$C$103,0)),"")&lt;&gt;"",IFERROR(INDEX('4'!$E$4:$E$103,MATCH($A56,'4'!$C$4:$C$103,0)),""),IFERROR(INDEX('5'!$E$4:$E$103,MATCH($A56,'5'!$C$4:$C$103,0)),""))))))</f>
        <v>KNWU Licentie (Plus)</v>
      </c>
      <c r="D56" s="24" t="str">
        <f>IF($A56="","",IFERROR(INDEX(Barneveld!$A$4:$A$36,MATCH($A56,Barneveld!$C$4:$C$36,0)),""))</f>
        <v/>
      </c>
      <c r="E56" s="15">
        <f>IF($A56="",0,IFERROR(INDEX(Barneveld!$H$4:$H$36,MATCH($A56,Barneveld!$C$4:$C$36,0)),0))</f>
        <v>0</v>
      </c>
      <c r="F56" s="24" t="str">
        <f>IF($A56="","",IFERROR(INDEX(Baarn!$A$4:$A$38,MATCH($A56,Baarn!$C$4:$C$38,0)),""))</f>
        <v/>
      </c>
      <c r="G56" s="15">
        <f>IF($A56="",0,IFERROR(INDEX(Baarn!$I$4:$I$38,MATCH($A56,Baarn!$C$4:$C$38,0)),0))</f>
        <v>0</v>
      </c>
      <c r="H56" s="24" t="str">
        <f>IF($A56="","",IFERROR(INDEX(Scherpenzeel!$A$4:$A$103,MATCH($A56,Scherpenzeel!$C$4:$C$103,0)),""))</f>
        <v>25</v>
      </c>
      <c r="I56" s="15">
        <v>12</v>
      </c>
      <c r="J56" s="24" t="str">
        <f>IF($A56="","",IFERROR(INDEX('4'!$A$4:$A$103,MATCH($A56,'4'!$C$4:$C$103,0)),""))</f>
        <v/>
      </c>
      <c r="K56" s="15">
        <f>IF($A56="",0,IFERROR(INDEX('4'!$I$4:$I$103,MATCH($A56,'4'!$C$4:$C$103,0)),0))</f>
        <v>0</v>
      </c>
      <c r="L56" s="24" t="str">
        <f>IF($A56="","",IFERROR(INDEX('5'!$A$4:$A$103,MATCH($A56,'5'!$C$4:$C$103,0)),""))</f>
        <v/>
      </c>
      <c r="M56" s="15">
        <f>IF($A56="",0,IFERROR(INDEX('5'!$I$4:$I$103,MATCH($A56,'5'!$C$4:$C$103,0)),0))</f>
        <v>0</v>
      </c>
      <c r="N56" s="25">
        <f>IF($A56="","",E56+G56+I56+K56+M56)</f>
        <v>12</v>
      </c>
      <c r="O56" s="26">
        <f>IF(OR($A56="",N56="",N56=0),"",RANK(N56,$N$4:$N$203,0))</f>
        <v>52</v>
      </c>
      <c r="AA56" t="str">
        <f>Baarn!C26</f>
        <v>Deon Bergwerff</v>
      </c>
      <c r="AB56">
        <f>IF(AA56="",0,IF(COUNTIF($AA$1:AA56,AA56)=1,1,0))</f>
        <v>0</v>
      </c>
      <c r="AC56" t="str">
        <f>IF(AB56=1,COUNTIF($AB$1:AB56,1),"")</f>
        <v/>
      </c>
    </row>
    <row r="57" spans="1:29" x14ac:dyDescent="0.25">
      <c r="A57" s="13" t="str">
        <f>IFERROR(INDEX($AA$1:$AA$368,MATCH(60,$AC$1:$AC$368,0)),"")</f>
        <v>Marijn van Buren</v>
      </c>
      <c r="B57" s="13" t="str">
        <f>IF($A57="","",IF(IFERROR(INDEX(Barneveld!$E$4:$E$36,MATCH($A57,Barneveld!$C$4:$C$36,0)),"")&lt;&gt;"",IFERROR(INDEX(Barneveld!$E$4:$E$36,MATCH($A57,Barneveld!$C$4:$C$36,0)),""),IF(IFERROR(INDEX(Baarn!$F$4:$F$38,MATCH($A57,Baarn!$C$4:$C$38,0)),"")&lt;&gt;"",IFERROR(INDEX(Baarn!$F$4:$F$38,MATCH($A57,Baarn!$C$4:$C$38,0)),""),IF(IFERROR(INDEX(Scherpenzeel!$F$4:$F$103,MATCH($A57,Scherpenzeel!$C$4:$C$103,0)),"")&lt;&gt;"",IFERROR(INDEX(Scherpenzeel!$F$4:$F$103,MATCH($A57,Scherpenzeel!$C$4:$C$103,0)),""),IF(IFERROR(INDEX('4'!$F$4:$F$103,MATCH($A57,'4'!$C$4:$C$103,0)),"")&lt;&gt;"",IFERROR(INDEX('4'!$F$4:$F$103,MATCH($A57,'4'!$C$4:$C$103,0)),""),IFERROR(INDEX('5'!$F$4:$F$103,MATCH($A57,'5'!$C$4:$C$103,0)),""))))))</f>
        <v>DRC de Mol</v>
      </c>
      <c r="C57" s="13" t="str">
        <f>IF($A57="","",IF(IFERROR(INDEX(Barneveld!$D$4:$D$36,MATCH($A57,Barneveld!$C$4:$C$36,0)),"")&lt;&gt;"",IFERROR(INDEX(Barneveld!$D$4:$D$36,MATCH($A57,Barneveld!$C$4:$C$36,0)),""),IF(IFERROR(INDEX(Baarn!$E$4:$E$38,MATCH($A57,Baarn!$C$4:$C$38,0)),"")&lt;&gt;"",IFERROR(INDEX(Baarn!$E$4:$E$38,MATCH($A57,Baarn!$C$4:$C$38,0)),""),IF(IFERROR(INDEX(Scherpenzeel!$E$4:$E$103,MATCH($A57,Scherpenzeel!$C$4:$C$103,0)),"")&lt;&gt;"",IFERROR(INDEX(Scherpenzeel!$E$4:$E$103,MATCH($A57,Scherpenzeel!$C$4:$C$103,0)),""),IF(IFERROR(INDEX('4'!$E$4:$E$103,MATCH($A57,'4'!$C$4:$C$103,0)),"")&lt;&gt;"",IFERROR(INDEX('4'!$E$4:$E$103,MATCH($A57,'4'!$C$4:$C$103,0)),""),IFERROR(INDEX('5'!$E$4:$E$103,MATCH($A57,'5'!$C$4:$C$103,0)),""))))))</f>
        <v>Junior (U19)</v>
      </c>
      <c r="D57" s="24" t="str">
        <f>IF($A57="","",IFERROR(INDEX(Barneveld!$A$4:$A$36,MATCH($A57,Barneveld!$C$4:$C$36,0)),""))</f>
        <v/>
      </c>
      <c r="E57" s="15">
        <f>IF($A57="",0,IFERROR(INDEX(Barneveld!$H$4:$H$36,MATCH($A57,Barneveld!$C$4:$C$36,0)),0))</f>
        <v>0</v>
      </c>
      <c r="F57" s="24" t="str">
        <f>IF($A57="","",IFERROR(INDEX(Baarn!$A$4:$A$38,MATCH($A57,Baarn!$C$4:$C$38,0)),""))</f>
        <v/>
      </c>
      <c r="G57" s="15">
        <f>IF($A57="",0,IFERROR(INDEX(Baarn!$I$4:$I$38,MATCH($A57,Baarn!$C$4:$C$38,0)),0))</f>
        <v>0</v>
      </c>
      <c r="H57" s="24" t="str">
        <f>IF($A57="","",IFERROR(INDEX(Scherpenzeel!$A$4:$A$103,MATCH($A57,Scherpenzeel!$C$4:$C$103,0)),""))</f>
        <v>26</v>
      </c>
      <c r="I57" s="15">
        <v>10</v>
      </c>
      <c r="J57" s="24" t="str">
        <f>IF($A57="","",IFERROR(INDEX('4'!$A$4:$A$103,MATCH($A57,'4'!$C$4:$C$103,0)),""))</f>
        <v/>
      </c>
      <c r="K57" s="15">
        <f>IF($A57="",0,IFERROR(INDEX('4'!$I$4:$I$103,MATCH($A57,'4'!$C$4:$C$103,0)),0))</f>
        <v>0</v>
      </c>
      <c r="L57" s="24" t="str">
        <f>IF($A57="","",IFERROR(INDEX('5'!$A$4:$A$103,MATCH($A57,'5'!$C$4:$C$103,0)),""))</f>
        <v/>
      </c>
      <c r="M57" s="15">
        <f>IF($A57="",0,IFERROR(INDEX('5'!$I$4:$I$103,MATCH($A57,'5'!$C$4:$C$103,0)),0))</f>
        <v>0</v>
      </c>
      <c r="N57" s="25">
        <f>IF($A57="","",E57+G57+I57+K57+M57)</f>
        <v>10</v>
      </c>
      <c r="O57" s="26">
        <f>IF(OR($A57="",N57="",N57=0),"",RANK(N57,$N$4:$N$203,0))</f>
        <v>54</v>
      </c>
      <c r="AA57" t="str">
        <f>Baarn!C27</f>
        <v>Pim Jansen</v>
      </c>
      <c r="AB57">
        <f>IF(AA57="",0,IF(COUNTIF($AA$1:AA57,AA57)=1,1,0))</f>
        <v>1</v>
      </c>
      <c r="AC57">
        <f>IF(AB57=1,COUNTIF($AB$1:AB57,1),"")</f>
        <v>46</v>
      </c>
    </row>
    <row r="58" spans="1:29" x14ac:dyDescent="0.25">
      <c r="A58" s="13" t="str">
        <f>IFERROR(INDEX($AA$1:$AA$368,MATCH(27,$AC$1:$AC$368,0)),"")</f>
        <v>Mark Hermsen</v>
      </c>
      <c r="B58" s="13" t="str">
        <f>IF($A58="","",IF(IFERROR(INDEX(Barneveld!$E$4:$E$36,MATCH($A58,Barneveld!$C$4:$C$36,0)),"")&lt;&gt;"",IFERROR(INDEX(Barneveld!$E$4:$E$36,MATCH($A58,Barneveld!$C$4:$C$36,0)),""),IF(IFERROR(INDEX(Baarn!$F$4:$F$38,MATCH($A58,Baarn!$C$4:$C$38,0)),"")&lt;&gt;"",IFERROR(INDEX(Baarn!$F$4:$F$38,MATCH($A58,Baarn!$C$4:$C$38,0)),""),IF(IFERROR(INDEX(Scherpenzeel!$F$4:$F$103,MATCH($A58,Scherpenzeel!$C$4:$C$103,0)),"")&lt;&gt;"",IFERROR(INDEX(Scherpenzeel!$F$4:$F$103,MATCH($A58,Scherpenzeel!$C$4:$C$103,0)),""),IF(IFERROR(INDEX('4'!$F$4:$F$103,MATCH($A58,'4'!$C$4:$C$103,0)),"")&lt;&gt;"",IFERROR(INDEX('4'!$F$4:$F$103,MATCH($A58,'4'!$C$4:$C$103,0)),""),IFERROR(INDEX('5'!$F$4:$F$103,MATCH($A58,'5'!$C$4:$C$103,0)),""))))))</f>
        <v/>
      </c>
      <c r="C58" s="13" t="str">
        <f>IF($A58="","",IF(IFERROR(INDEX(Barneveld!$D$4:$D$36,MATCH($A58,Barneveld!$C$4:$C$36,0)),"")&lt;&gt;"",IFERROR(INDEX(Barneveld!$D$4:$D$36,MATCH($A58,Barneveld!$C$4:$C$36,0)),""),IF(IFERROR(INDEX(Baarn!$E$4:$E$38,MATCH($A58,Baarn!$C$4:$C$38,0)),"")&lt;&gt;"",IFERROR(INDEX(Baarn!$E$4:$E$38,MATCH($A58,Baarn!$C$4:$C$38,0)),""),IF(IFERROR(INDEX(Scherpenzeel!$E$4:$E$103,MATCH($A58,Scherpenzeel!$C$4:$C$103,0)),"")&lt;&gt;"",IFERROR(INDEX(Scherpenzeel!$E$4:$E$103,MATCH($A58,Scherpenzeel!$C$4:$C$103,0)),""),IF(IFERROR(INDEX('4'!$E$4:$E$103,MATCH($A58,'4'!$C$4:$C$103,0)),"")&lt;&gt;"",IFERROR(INDEX('4'!$E$4:$E$103,MATCH($A58,'4'!$C$4:$C$103,0)),""),IFERROR(INDEX('5'!$E$4:$E$103,MATCH($A58,'5'!$C$4:$C$103,0)),""))))))</f>
        <v>KNWU Licentie (Plus)</v>
      </c>
      <c r="D58" s="24">
        <f>IF($A58="","",IFERROR(INDEX(Barneveld!$A$4:$A$36,MATCH($A58,Barneveld!$C$4:$C$36,0)),""))</f>
        <v>27</v>
      </c>
      <c r="E58" s="15">
        <f>IF($A58="",0,IFERROR(INDEX(Barneveld!$H$4:$H$36,MATCH($A58,Barneveld!$C$4:$C$36,0)),0))</f>
        <v>8</v>
      </c>
      <c r="F58" s="24" t="str">
        <f>IF($A58="","",IFERROR(INDEX(Baarn!$A$4:$A$38,MATCH($A58,Baarn!$C$4:$C$38,0)),""))</f>
        <v/>
      </c>
      <c r="G58" s="15">
        <f>IF($A58="",0,IFERROR(INDEX(Baarn!$I$4:$I$38,MATCH($A58,Baarn!$C$4:$C$38,0)),0))</f>
        <v>0</v>
      </c>
      <c r="H58" s="24" t="str">
        <f>IF($A58="","",IFERROR(INDEX(Scherpenzeel!$A$4:$A$103,MATCH($A58,Scherpenzeel!$C$4:$C$103,0)),""))</f>
        <v/>
      </c>
      <c r="I58" s="15">
        <f>IF($A58="",0,IFERROR(INDEX(Scherpenzeel!$I$4:$I$103,MATCH($A58,Scherpenzeel!$C$4:$C$103,0)),0))</f>
        <v>0</v>
      </c>
      <c r="J58" s="24" t="str">
        <f>IF($A58="","",IFERROR(INDEX('4'!$A$4:$A$103,MATCH($A58,'4'!$C$4:$C$103,0)),""))</f>
        <v/>
      </c>
      <c r="K58" s="15">
        <f>IF($A58="",0,IFERROR(INDEX('4'!$I$4:$I$103,MATCH($A58,'4'!$C$4:$C$103,0)),0))</f>
        <v>0</v>
      </c>
      <c r="L58" s="24" t="str">
        <f>IF($A58="","",IFERROR(INDEX('5'!$A$4:$A$103,MATCH($A58,'5'!$C$4:$C$103,0)),""))</f>
        <v/>
      </c>
      <c r="M58" s="15">
        <f>IF($A58="",0,IFERROR(INDEX('5'!$I$4:$I$103,MATCH($A58,'5'!$C$4:$C$103,0)),0))</f>
        <v>0</v>
      </c>
      <c r="N58" s="25">
        <f>IF($A58="","",E58+G58+I58+K58+M58)</f>
        <v>8</v>
      </c>
      <c r="O58" s="26">
        <f>IF(OR($A58="",N58="",N58=0),"",RANK(N58,$N$4:$N$203,0))</f>
        <v>55</v>
      </c>
      <c r="AA58" t="str">
        <f>Baarn!C28</f>
        <v>Erwin van Leijen</v>
      </c>
      <c r="AB58">
        <f>IF(AA58="",0,IF(COUNTIF($AA$1:AA58,AA58)=1,1,0))</f>
        <v>0</v>
      </c>
      <c r="AC58" t="str">
        <f>IF(AB58=1,COUNTIF($AB$1:AB58,1),"")</f>
        <v/>
      </c>
    </row>
    <row r="59" spans="1:29" x14ac:dyDescent="0.25">
      <c r="A59" s="13" t="str">
        <f>IFERROR(INDEX($AA$1:$AA$368,MATCH(61,$AC$1:$AC$368,0)),"")</f>
        <v>Roan van de Steeg</v>
      </c>
      <c r="B59" s="13" t="str">
        <f>IF($A59="","",IF(IFERROR(INDEX(Barneveld!$E$4:$E$36,MATCH($A59,Barneveld!$C$4:$C$36,0)),"")&lt;&gt;"",IFERROR(INDEX(Barneveld!$E$4:$E$36,MATCH($A59,Barneveld!$C$4:$C$36,0)),""),IF(IFERROR(INDEX(Baarn!$F$4:$F$38,MATCH($A59,Baarn!$C$4:$C$38,0)),"")&lt;&gt;"",IFERROR(INDEX(Baarn!$F$4:$F$38,MATCH($A59,Baarn!$C$4:$C$38,0)),""),IF(IFERROR(INDEX(Scherpenzeel!$F$4:$F$103,MATCH($A59,Scherpenzeel!$C$4:$C$103,0)),"")&lt;&gt;"",IFERROR(INDEX(Scherpenzeel!$F$4:$F$103,MATCH($A59,Scherpenzeel!$C$4:$C$103,0)),""),IF(IFERROR(INDEX('4'!$F$4:$F$103,MATCH($A59,'4'!$C$4:$C$103,0)),"")&lt;&gt;"",IFERROR(INDEX('4'!$F$4:$F$103,MATCH($A59,'4'!$C$4:$C$103,0)),""),IFERROR(INDEX('5'!$F$4:$F$103,MATCH($A59,'5'!$C$4:$C$103,0)),""))))))</f>
        <v>W.V. Eemland</v>
      </c>
      <c r="C59" s="13" t="str">
        <f>IF($A59="","",IF(IFERROR(INDEX(Barneveld!$D$4:$D$36,MATCH($A59,Barneveld!$C$4:$C$36,0)),"")&lt;&gt;"",IFERROR(INDEX(Barneveld!$D$4:$D$36,MATCH($A59,Barneveld!$C$4:$C$36,0)),""),IF(IFERROR(INDEX(Baarn!$E$4:$E$38,MATCH($A59,Baarn!$C$4:$C$38,0)),"")&lt;&gt;"",IFERROR(INDEX(Baarn!$E$4:$E$38,MATCH($A59,Baarn!$C$4:$C$38,0)),""),IF(IFERROR(INDEX(Scherpenzeel!$E$4:$E$103,MATCH($A59,Scherpenzeel!$C$4:$C$103,0)),"")&lt;&gt;"",IFERROR(INDEX(Scherpenzeel!$E$4:$E$103,MATCH($A59,Scherpenzeel!$C$4:$C$103,0)),""),IF(IFERROR(INDEX('4'!$E$4:$E$103,MATCH($A59,'4'!$C$4:$C$103,0)),"")&lt;&gt;"",IFERROR(INDEX('4'!$E$4:$E$103,MATCH($A59,'4'!$C$4:$C$103,0)),""),IFERROR(INDEX('5'!$E$4:$E$103,MATCH($A59,'5'!$C$4:$C$103,0)),""))))))</f>
        <v>Junior (U19)</v>
      </c>
      <c r="D59" s="24" t="str">
        <f>IF($A59="","",IFERROR(INDEX(Barneveld!$A$4:$A$36,MATCH($A59,Barneveld!$C$4:$C$36,0)),""))</f>
        <v/>
      </c>
      <c r="E59" s="15">
        <f>IF($A59="",0,IFERROR(INDEX(Barneveld!$H$4:$H$36,MATCH($A59,Barneveld!$C$4:$C$36,0)),0))</f>
        <v>0</v>
      </c>
      <c r="F59" s="24" t="str">
        <f>IF($A59="","",IFERROR(INDEX(Baarn!$A$4:$A$38,MATCH($A59,Baarn!$C$4:$C$38,0)),""))</f>
        <v/>
      </c>
      <c r="G59" s="15">
        <f>IF($A59="",0,IFERROR(INDEX(Baarn!$I$4:$I$38,MATCH($A59,Baarn!$C$4:$C$38,0)),0))</f>
        <v>0</v>
      </c>
      <c r="H59" s="24" t="str">
        <f>IF($A59="","",IFERROR(INDEX(Scherpenzeel!$A$4:$A$103,MATCH($A59,Scherpenzeel!$C$4:$C$103,0)),""))</f>
        <v>27</v>
      </c>
      <c r="I59" s="15">
        <v>8</v>
      </c>
      <c r="J59" s="24" t="str">
        <f>IF($A59="","",IFERROR(INDEX('4'!$A$4:$A$103,MATCH($A59,'4'!$C$4:$C$103,0)),""))</f>
        <v/>
      </c>
      <c r="K59" s="15">
        <f>IF($A59="",0,IFERROR(INDEX('4'!$I$4:$I$103,MATCH($A59,'4'!$C$4:$C$103,0)),0))</f>
        <v>0</v>
      </c>
      <c r="L59" s="24" t="str">
        <f>IF($A59="","",IFERROR(INDEX('5'!$A$4:$A$103,MATCH($A59,'5'!$C$4:$C$103,0)),""))</f>
        <v/>
      </c>
      <c r="M59" s="15">
        <f>IF($A59="",0,IFERROR(INDEX('5'!$I$4:$I$103,MATCH($A59,'5'!$C$4:$C$103,0)),0))</f>
        <v>0</v>
      </c>
      <c r="N59" s="25">
        <f>IF($A59="","",E59+G59+I59+K59+M59)</f>
        <v>8</v>
      </c>
      <c r="O59" s="26">
        <f>IF(OR($A59="",N59="",N59=0),"",RANK(N59,$N$4:$N$203,0))</f>
        <v>55</v>
      </c>
      <c r="AA59" t="str">
        <f>Baarn!C29</f>
        <v>Rick Veenhoven</v>
      </c>
      <c r="AB59">
        <f>IF(AA59="",0,IF(COUNTIF($AA$1:AA59,AA59)=1,1,0))</f>
        <v>0</v>
      </c>
      <c r="AC59" t="str">
        <f>IF(AB59=1,COUNTIF($AB$1:AB59,1),"")</f>
        <v/>
      </c>
    </row>
    <row r="60" spans="1:29" x14ac:dyDescent="0.25">
      <c r="A60" s="13" t="str">
        <f>IFERROR(INDEX($AA$1:$AA$368,MATCH(28,$AC$1:$AC$368,0)),"")</f>
        <v>Danny Vrolijk</v>
      </c>
      <c r="B60" s="13" t="str">
        <f>IF($A60="","",IF(IFERROR(INDEX(Barneveld!$E$4:$E$36,MATCH($A60,Barneveld!$C$4:$C$36,0)),"")&lt;&gt;"",IFERROR(INDEX(Barneveld!$E$4:$E$36,MATCH($A60,Barneveld!$C$4:$C$36,0)),""),IF(IFERROR(INDEX(Baarn!$F$4:$F$38,MATCH($A60,Baarn!$C$4:$C$38,0)),"")&lt;&gt;"",IFERROR(INDEX(Baarn!$F$4:$F$38,MATCH($A60,Baarn!$C$4:$C$38,0)),""),IF(IFERROR(INDEX(Scherpenzeel!$F$4:$F$103,MATCH($A60,Scherpenzeel!$C$4:$C$103,0)),"")&lt;&gt;"",IFERROR(INDEX(Scherpenzeel!$F$4:$F$103,MATCH($A60,Scherpenzeel!$C$4:$C$103,0)),""),IF(IFERROR(INDEX('4'!$F$4:$F$103,MATCH($A60,'4'!$C$4:$C$103,0)),"")&lt;&gt;"",IFERROR(INDEX('4'!$F$4:$F$103,MATCH($A60,'4'!$C$4:$C$103,0)),""),IFERROR(INDEX('5'!$F$4:$F$103,MATCH($A60,'5'!$C$4:$C$103,0)),""))))))</f>
        <v/>
      </c>
      <c r="C60" s="13" t="str">
        <f>IF($A60="","",IF(IFERROR(INDEX(Barneveld!$D$4:$D$36,MATCH($A60,Barneveld!$C$4:$C$36,0)),"")&lt;&gt;"",IFERROR(INDEX(Barneveld!$D$4:$D$36,MATCH($A60,Barneveld!$C$4:$C$36,0)),""),IF(IFERROR(INDEX(Baarn!$E$4:$E$38,MATCH($A60,Baarn!$C$4:$C$38,0)),"")&lt;&gt;"",IFERROR(INDEX(Baarn!$E$4:$E$38,MATCH($A60,Baarn!$C$4:$C$38,0)),""),IF(IFERROR(INDEX(Scherpenzeel!$E$4:$E$103,MATCH($A60,Scherpenzeel!$C$4:$C$103,0)),"")&lt;&gt;"",IFERROR(INDEX(Scherpenzeel!$E$4:$E$103,MATCH($A60,Scherpenzeel!$C$4:$C$103,0)),""),IF(IFERROR(INDEX('4'!$E$4:$E$103,MATCH($A60,'4'!$C$4:$C$103,0)),"")&lt;&gt;"",IFERROR(INDEX('4'!$E$4:$E$103,MATCH($A60,'4'!$C$4:$C$103,0)),""),IFERROR(INDEX('5'!$E$4:$E$103,MATCH($A60,'5'!$C$4:$C$103,0)),""))))))</f>
        <v>KNWU Licentie (Plus)</v>
      </c>
      <c r="D60" s="24">
        <f>IF($A60="","",IFERROR(INDEX(Barneveld!$A$4:$A$36,MATCH($A60,Barneveld!$C$4:$C$36,0)),""))</f>
        <v>28</v>
      </c>
      <c r="E60" s="15">
        <f>IF($A60="",0,IFERROR(INDEX(Barneveld!$H$4:$H$36,MATCH($A60,Barneveld!$C$4:$C$36,0)),0))</f>
        <v>6</v>
      </c>
      <c r="F60" s="24" t="str">
        <f>IF($A60="","",IFERROR(INDEX(Baarn!$A$4:$A$38,MATCH($A60,Baarn!$C$4:$C$38,0)),""))</f>
        <v/>
      </c>
      <c r="G60" s="15">
        <f>IF($A60="",0,IFERROR(INDEX(Baarn!$I$4:$I$38,MATCH($A60,Baarn!$C$4:$C$38,0)),0))</f>
        <v>0</v>
      </c>
      <c r="H60" s="24" t="str">
        <f>IF($A60="","",IFERROR(INDEX(Scherpenzeel!$A$4:$A$103,MATCH($A60,Scherpenzeel!$C$4:$C$103,0)),""))</f>
        <v/>
      </c>
      <c r="I60" s="15">
        <f>IF($A60="",0,IFERROR(INDEX(Scherpenzeel!$I$4:$I$103,MATCH($A60,Scherpenzeel!$C$4:$C$103,0)),0))</f>
        <v>0</v>
      </c>
      <c r="J60" s="24" t="str">
        <f>IF($A60="","",IFERROR(INDEX('4'!$A$4:$A$103,MATCH($A60,'4'!$C$4:$C$103,0)),""))</f>
        <v/>
      </c>
      <c r="K60" s="15">
        <f>IF($A60="",0,IFERROR(INDEX('4'!$I$4:$I$103,MATCH($A60,'4'!$C$4:$C$103,0)),0))</f>
        <v>0</v>
      </c>
      <c r="L60" s="24" t="str">
        <f>IF($A60="","",IFERROR(INDEX('5'!$A$4:$A$103,MATCH($A60,'5'!$C$4:$C$103,0)),""))</f>
        <v/>
      </c>
      <c r="M60" s="15">
        <f>IF($A60="",0,IFERROR(INDEX('5'!$I$4:$I$103,MATCH($A60,'5'!$C$4:$C$103,0)),0))</f>
        <v>0</v>
      </c>
      <c r="N60" s="25">
        <f>IF($A60="","",E60+G60+I60+K60+M60)</f>
        <v>6</v>
      </c>
      <c r="O60" s="26">
        <f>IF(OR($A60="",N60="",N60=0),"",RANK(N60,$N$4:$N$203,0))</f>
        <v>57</v>
      </c>
      <c r="AA60">
        <f>Baarn!C30</f>
        <v>0</v>
      </c>
      <c r="AB60">
        <f>IF(AA60="",0,IF(COUNTIF($AA$1:AA60,AA60)=1,1,0))</f>
        <v>0</v>
      </c>
      <c r="AC60" t="str">
        <f>IF(AB60=1,COUNTIF($AB$1:AB60,1),"")</f>
        <v/>
      </c>
    </row>
    <row r="61" spans="1:29" x14ac:dyDescent="0.25">
      <c r="A61" s="13" t="str">
        <f>IFERROR(INDEX($AA$1:$AA$368,MATCH(62,$AC$1:$AC$368,0)),"")</f>
        <v>Finn Bouwer</v>
      </c>
      <c r="B61" s="13" t="str">
        <f>IF($A61="","",IF(IFERROR(INDEX(Barneveld!$E$4:$E$36,MATCH($A61,Barneveld!$C$4:$C$36,0)),"")&lt;&gt;"",IFERROR(INDEX(Barneveld!$E$4:$E$36,MATCH($A61,Barneveld!$C$4:$C$36,0)),""),IF(IFERROR(INDEX(Baarn!$F$4:$F$38,MATCH($A61,Baarn!$C$4:$C$38,0)),"")&lt;&gt;"",IFERROR(INDEX(Baarn!$F$4:$F$38,MATCH($A61,Baarn!$C$4:$C$38,0)),""),IF(IFERROR(INDEX(Scherpenzeel!$F$4:$F$103,MATCH($A61,Scherpenzeel!$C$4:$C$103,0)),"")&lt;&gt;"",IFERROR(INDEX(Scherpenzeel!$F$4:$F$103,MATCH($A61,Scherpenzeel!$C$4:$C$103,0)),""),IF(IFERROR(INDEX('4'!$F$4:$F$103,MATCH($A61,'4'!$C$4:$C$103,0)),"")&lt;&gt;"",IFERROR(INDEX('4'!$F$4:$F$103,MATCH($A61,'4'!$C$4:$C$103,0)),""),IFERROR(INDEX('5'!$F$4:$F$103,MATCH($A61,'5'!$C$4:$C$103,0)),""))))))</f>
        <v>LRTV Swift</v>
      </c>
      <c r="C61" s="13" t="str">
        <f>IF($A61="","",IF(IFERROR(INDEX(Barneveld!$D$4:$D$36,MATCH($A61,Barneveld!$C$4:$C$36,0)),"")&lt;&gt;"",IFERROR(INDEX(Barneveld!$D$4:$D$36,MATCH($A61,Barneveld!$C$4:$C$36,0)),""),IF(IFERROR(INDEX(Baarn!$E$4:$E$38,MATCH($A61,Baarn!$C$4:$C$38,0)),"")&lt;&gt;"",IFERROR(INDEX(Baarn!$E$4:$E$38,MATCH($A61,Baarn!$C$4:$C$38,0)),""),IF(IFERROR(INDEX(Scherpenzeel!$E$4:$E$103,MATCH($A61,Scherpenzeel!$C$4:$C$103,0)),"")&lt;&gt;"",IFERROR(INDEX(Scherpenzeel!$E$4:$E$103,MATCH($A61,Scherpenzeel!$C$4:$C$103,0)),""),IF(IFERROR(INDEX('4'!$E$4:$E$103,MATCH($A61,'4'!$C$4:$C$103,0)),"")&lt;&gt;"",IFERROR(INDEX('4'!$E$4:$E$103,MATCH($A61,'4'!$C$4:$C$103,0)),""),IFERROR(INDEX('5'!$E$4:$E$103,MATCH($A61,'5'!$C$4:$C$103,0)),""))))))</f>
        <v>Junior (U19)</v>
      </c>
      <c r="D61" s="24" t="str">
        <f>IF($A61="","",IFERROR(INDEX(Barneveld!$A$4:$A$36,MATCH($A61,Barneveld!$C$4:$C$36,0)),""))</f>
        <v/>
      </c>
      <c r="E61" s="15">
        <f>IF($A61="",0,IFERROR(INDEX(Barneveld!$H$4:$H$36,MATCH($A61,Barneveld!$C$4:$C$36,0)),0))</f>
        <v>0</v>
      </c>
      <c r="F61" s="24" t="str">
        <f>IF($A61="","",IFERROR(INDEX(Baarn!$A$4:$A$38,MATCH($A61,Baarn!$C$4:$C$38,0)),""))</f>
        <v/>
      </c>
      <c r="G61" s="15">
        <f>IF($A61="",0,IFERROR(INDEX(Baarn!$I$4:$I$38,MATCH($A61,Baarn!$C$4:$C$38,0)),0))</f>
        <v>0</v>
      </c>
      <c r="H61" s="24" t="str">
        <f>IF($A61="","",IFERROR(INDEX(Scherpenzeel!$A$4:$A$103,MATCH($A61,Scherpenzeel!$C$4:$C$103,0)),""))</f>
        <v>28</v>
      </c>
      <c r="I61" s="15">
        <v>6</v>
      </c>
      <c r="J61" s="24" t="str">
        <f>IF($A61="","",IFERROR(INDEX('4'!$A$4:$A$103,MATCH($A61,'4'!$C$4:$C$103,0)),""))</f>
        <v/>
      </c>
      <c r="K61" s="15">
        <f>IF($A61="",0,IFERROR(INDEX('4'!$I$4:$I$103,MATCH($A61,'4'!$C$4:$C$103,0)),0))</f>
        <v>0</v>
      </c>
      <c r="L61" s="24" t="str">
        <f>IF($A61="","",IFERROR(INDEX('5'!$A$4:$A$103,MATCH($A61,'5'!$C$4:$C$103,0)),""))</f>
        <v/>
      </c>
      <c r="M61" s="15">
        <f>IF($A61="",0,IFERROR(INDEX('5'!$I$4:$I$103,MATCH($A61,'5'!$C$4:$C$103,0)),0))</f>
        <v>0</v>
      </c>
      <c r="N61" s="25">
        <f>IF($A61="","",E61+G61+I61+K61+M61)</f>
        <v>6</v>
      </c>
      <c r="O61" s="26">
        <f>IF(OR($A61="",N61="",N61=0),"",RANK(N61,$N$4:$N$203,0))</f>
        <v>57</v>
      </c>
      <c r="AA61">
        <f>Baarn!C31</f>
        <v>0</v>
      </c>
      <c r="AB61">
        <f>IF(AA61="",0,IF(COUNTIF($AA$1:AA61,AA61)=1,1,0))</f>
        <v>0</v>
      </c>
      <c r="AC61" t="str">
        <f>IF(AB61=1,COUNTIF($AB$1:AB61,1),"")</f>
        <v/>
      </c>
    </row>
    <row r="62" spans="1:29" x14ac:dyDescent="0.25">
      <c r="A62" s="13" t="str">
        <f>IFERROR(INDEX($AA$1:$AA$368,MATCH(29,$AC$1:$AC$368,0)),"")</f>
        <v>Egbert Schoemaker</v>
      </c>
      <c r="B62" s="13" t="str">
        <f>IF($A62="","",IF(IFERROR(INDEX(Barneveld!$E$4:$E$36,MATCH($A62,Barneveld!$C$4:$C$36,0)),"")&lt;&gt;"",IFERROR(INDEX(Barneveld!$E$4:$E$36,MATCH($A62,Barneveld!$C$4:$C$36,0)),""),IF(IFERROR(INDEX(Baarn!$F$4:$F$38,MATCH($A62,Baarn!$C$4:$C$38,0)),"")&lt;&gt;"",IFERROR(INDEX(Baarn!$F$4:$F$38,MATCH($A62,Baarn!$C$4:$C$38,0)),""),IF(IFERROR(INDEX(Scherpenzeel!$F$4:$F$103,MATCH($A62,Scherpenzeel!$C$4:$C$103,0)),"")&lt;&gt;"",IFERROR(INDEX(Scherpenzeel!$F$4:$F$103,MATCH($A62,Scherpenzeel!$C$4:$C$103,0)),""),IF(IFERROR(INDEX('4'!$F$4:$F$103,MATCH($A62,'4'!$C$4:$C$103,0)),"")&lt;&gt;"",IFERROR(INDEX('4'!$F$4:$F$103,MATCH($A62,'4'!$C$4:$C$103,0)),""),IFERROR(INDEX('5'!$F$4:$F$103,MATCH($A62,'5'!$C$4:$C$103,0)),""))))))</f>
        <v/>
      </c>
      <c r="C62" s="13" t="str">
        <f>IF($A62="","",IF(IFERROR(INDEX(Barneveld!$D$4:$D$36,MATCH($A62,Barneveld!$C$4:$C$36,0)),"")&lt;&gt;"",IFERROR(INDEX(Barneveld!$D$4:$D$36,MATCH($A62,Barneveld!$C$4:$C$36,0)),""),IF(IFERROR(INDEX(Baarn!$E$4:$E$38,MATCH($A62,Baarn!$C$4:$C$38,0)),"")&lt;&gt;"",IFERROR(INDEX(Baarn!$E$4:$E$38,MATCH($A62,Baarn!$C$4:$C$38,0)),""),IF(IFERROR(INDEX(Scherpenzeel!$E$4:$E$103,MATCH($A62,Scherpenzeel!$C$4:$C$103,0)),"")&lt;&gt;"",IFERROR(INDEX(Scherpenzeel!$E$4:$E$103,MATCH($A62,Scherpenzeel!$C$4:$C$103,0)),""),IF(IFERROR(INDEX('4'!$E$4:$E$103,MATCH($A62,'4'!$C$4:$C$103,0)),"")&lt;&gt;"",IFERROR(INDEX('4'!$E$4:$E$103,MATCH($A62,'4'!$C$4:$C$103,0)),""),IFERROR(INDEX('5'!$E$4:$E$103,MATCH($A62,'5'!$C$4:$C$103,0)),""))))))</f>
        <v>KNWU Licentie (Plus)</v>
      </c>
      <c r="D62" s="24">
        <f>IF($A62="","",IFERROR(INDEX(Barneveld!$A$4:$A$36,MATCH($A62,Barneveld!$C$4:$C$36,0)),""))</f>
        <v>29</v>
      </c>
      <c r="E62" s="15">
        <f>IF($A62="",0,IFERROR(INDEX(Barneveld!$H$4:$H$36,MATCH($A62,Barneveld!$C$4:$C$36,0)),0))</f>
        <v>4</v>
      </c>
      <c r="F62" s="24" t="str">
        <f>IF($A62="","",IFERROR(INDEX(Baarn!$A$4:$A$38,MATCH($A62,Baarn!$C$4:$C$38,0)),""))</f>
        <v/>
      </c>
      <c r="G62" s="15">
        <f>IF($A62="",0,IFERROR(INDEX(Baarn!$I$4:$I$38,MATCH($A62,Baarn!$C$4:$C$38,0)),0))</f>
        <v>0</v>
      </c>
      <c r="H62" s="24" t="str">
        <f>IF($A62="","",IFERROR(INDEX(Scherpenzeel!$A$4:$A$103,MATCH($A62,Scherpenzeel!$C$4:$C$103,0)),""))</f>
        <v/>
      </c>
      <c r="I62" s="15">
        <f>IF($A62="",0,IFERROR(INDEX(Scherpenzeel!$I$4:$I$103,MATCH($A62,Scherpenzeel!$C$4:$C$103,0)),0))</f>
        <v>0</v>
      </c>
      <c r="J62" s="24" t="str">
        <f>IF($A62="","",IFERROR(INDEX('4'!$A$4:$A$103,MATCH($A62,'4'!$C$4:$C$103,0)),""))</f>
        <v/>
      </c>
      <c r="K62" s="15">
        <f>IF($A62="",0,IFERROR(INDEX('4'!$I$4:$I$103,MATCH($A62,'4'!$C$4:$C$103,0)),0))</f>
        <v>0</v>
      </c>
      <c r="L62" s="24" t="str">
        <f>IF($A62="","",IFERROR(INDEX('5'!$A$4:$A$103,MATCH($A62,'5'!$C$4:$C$103,0)),""))</f>
        <v/>
      </c>
      <c r="M62" s="15">
        <f>IF($A62="",0,IFERROR(INDEX('5'!$I$4:$I$103,MATCH($A62,'5'!$C$4:$C$103,0)),0))</f>
        <v>0</v>
      </c>
      <c r="N62" s="25">
        <f>IF($A62="","",E62+G62+I62+K62+M62)</f>
        <v>4</v>
      </c>
      <c r="O62" s="26">
        <f>IF(OR($A62="",N62="",N62=0),"",RANK(N62,$N$4:$N$203,0))</f>
        <v>59</v>
      </c>
      <c r="AA62">
        <f>Baarn!C32</f>
        <v>0</v>
      </c>
      <c r="AB62">
        <f>IF(AA62="",0,IF(COUNTIF($AA$1:AA62,AA62)=1,1,0))</f>
        <v>0</v>
      </c>
      <c r="AC62" t="str">
        <f>IF(AB62=1,COUNTIF($AB$1:AB62,1),"")</f>
        <v/>
      </c>
    </row>
    <row r="63" spans="1:29" x14ac:dyDescent="0.25">
      <c r="A63" s="13" t="str">
        <f>IFERROR(INDEX($AA$1:$AA$368,MATCH(30,$AC$1:$AC$368,0)),"")</f>
        <v>Eddy Hermsen</v>
      </c>
      <c r="B63" s="13" t="str">
        <f>IF($A63="","",IF(IFERROR(INDEX(Barneveld!$E$4:$E$36,MATCH($A63,Barneveld!$C$4:$C$36,0)),"")&lt;&gt;"",IFERROR(INDEX(Barneveld!$E$4:$E$36,MATCH($A63,Barneveld!$C$4:$C$36,0)),""),IF(IFERROR(INDEX(Baarn!$F$4:$F$38,MATCH($A63,Baarn!$C$4:$C$38,0)),"")&lt;&gt;"",IFERROR(INDEX(Baarn!$F$4:$F$38,MATCH($A63,Baarn!$C$4:$C$38,0)),""),IF(IFERROR(INDEX(Scherpenzeel!$F$4:$F$103,MATCH($A63,Scherpenzeel!$C$4:$C$103,0)),"")&lt;&gt;"",IFERROR(INDEX(Scherpenzeel!$F$4:$F$103,MATCH($A63,Scherpenzeel!$C$4:$C$103,0)),""),IF(IFERROR(INDEX('4'!$F$4:$F$103,MATCH($A63,'4'!$C$4:$C$103,0)),"")&lt;&gt;"",IFERROR(INDEX('4'!$F$4:$F$103,MATCH($A63,'4'!$C$4:$C$103,0)),""),IFERROR(INDEX('5'!$F$4:$F$103,MATCH($A63,'5'!$C$4:$C$103,0)),""))))))</f>
        <v/>
      </c>
      <c r="C63" s="13" t="str">
        <f>IF($A63="","",IF(IFERROR(INDEX(Barneveld!$D$4:$D$36,MATCH($A63,Barneveld!$C$4:$C$36,0)),"")&lt;&gt;"",IFERROR(INDEX(Barneveld!$D$4:$D$36,MATCH($A63,Barneveld!$C$4:$C$36,0)),""),IF(IFERROR(INDEX(Baarn!$E$4:$E$38,MATCH($A63,Baarn!$C$4:$C$38,0)),"")&lt;&gt;"",IFERROR(INDEX(Baarn!$E$4:$E$38,MATCH($A63,Baarn!$C$4:$C$38,0)),""),IF(IFERROR(INDEX(Scherpenzeel!$E$4:$E$103,MATCH($A63,Scherpenzeel!$C$4:$C$103,0)),"")&lt;&gt;"",IFERROR(INDEX(Scherpenzeel!$E$4:$E$103,MATCH($A63,Scherpenzeel!$C$4:$C$103,0)),""),IF(IFERROR(INDEX('4'!$E$4:$E$103,MATCH($A63,'4'!$C$4:$C$103,0)),"")&lt;&gt;"",IFERROR(INDEX('4'!$E$4:$E$103,MATCH($A63,'4'!$C$4:$C$103,0)),""),IFERROR(INDEX('5'!$E$4:$E$103,MATCH($A63,'5'!$C$4:$C$103,0)),""))))))</f>
        <v>KNWU Licentie (Plus)</v>
      </c>
      <c r="D63" s="24">
        <f>IF($A63="","",IFERROR(INDEX(Barneveld!$A$4:$A$36,MATCH($A63,Barneveld!$C$4:$C$36,0)),""))</f>
        <v>30</v>
      </c>
      <c r="E63" s="15">
        <f>IF($A63="",0,IFERROR(INDEX(Barneveld!$H$4:$H$36,MATCH($A63,Barneveld!$C$4:$C$36,0)),0))</f>
        <v>2</v>
      </c>
      <c r="F63" s="24" t="str">
        <f>IF($A63="","",IFERROR(INDEX(Baarn!$A$4:$A$38,MATCH($A63,Baarn!$C$4:$C$38,0)),""))</f>
        <v/>
      </c>
      <c r="G63" s="15">
        <f>IF($A63="",0,IFERROR(INDEX(Baarn!$I$4:$I$38,MATCH($A63,Baarn!$C$4:$C$38,0)),0))</f>
        <v>0</v>
      </c>
      <c r="H63" s="24" t="str">
        <f>IF($A63="","",IFERROR(INDEX(Scherpenzeel!$A$4:$A$103,MATCH($A63,Scherpenzeel!$C$4:$C$103,0)),""))</f>
        <v/>
      </c>
      <c r="I63" s="15">
        <f>IF($A63="",0,IFERROR(INDEX(Scherpenzeel!$I$4:$I$103,MATCH($A63,Scherpenzeel!$C$4:$C$103,0)),0))</f>
        <v>0</v>
      </c>
      <c r="J63" s="24" t="str">
        <f>IF($A63="","",IFERROR(INDEX('4'!$A$4:$A$103,MATCH($A63,'4'!$C$4:$C$103,0)),""))</f>
        <v/>
      </c>
      <c r="K63" s="15">
        <f>IF($A63="",0,IFERROR(INDEX('4'!$I$4:$I$103,MATCH($A63,'4'!$C$4:$C$103,0)),0))</f>
        <v>0</v>
      </c>
      <c r="L63" s="24" t="str">
        <f>IF($A63="","",IFERROR(INDEX('5'!$A$4:$A$103,MATCH($A63,'5'!$C$4:$C$103,0)),""))</f>
        <v/>
      </c>
      <c r="M63" s="15">
        <f>IF($A63="",0,IFERROR(INDEX('5'!$I$4:$I$103,MATCH($A63,'5'!$C$4:$C$103,0)),0))</f>
        <v>0</v>
      </c>
      <c r="N63" s="25">
        <f>IF($A63="","",E63+G63+I63+K63+M63)</f>
        <v>2</v>
      </c>
      <c r="O63" s="26">
        <f>IF(OR($A63="",N63="",N63=0),"",RANK(N63,$N$4:$N$203,0))</f>
        <v>60</v>
      </c>
      <c r="AA63">
        <f>Baarn!C33</f>
        <v>0</v>
      </c>
      <c r="AB63">
        <f>IF(AA63="",0,IF(COUNTIF($AA$1:AA63,AA63)=1,1,0))</f>
        <v>0</v>
      </c>
      <c r="AC63" t="str">
        <f>IF(AB63=1,COUNTIF($AB$1:AB63,1),"")</f>
        <v/>
      </c>
    </row>
    <row r="64" spans="1:29" x14ac:dyDescent="0.25">
      <c r="A64" s="13" t="str">
        <f>IFERROR(INDEX($AA$1:$AA$368,MATCH(46,$AC$1:$AC$368,0)),"")</f>
        <v>Pim Jansen</v>
      </c>
      <c r="B64" s="13" t="str">
        <f>IF($A64="","",IF(IFERROR(INDEX(Barneveld!$E$4:$E$36,MATCH($A64,Barneveld!$C$4:$C$36,0)),"")&lt;&gt;"",IFERROR(INDEX(Barneveld!$E$4:$E$36,MATCH($A64,Barneveld!$C$4:$C$36,0)),""),IF(IFERROR(INDEX(Baarn!$F$4:$F$38,MATCH($A64,Baarn!$C$4:$C$38,0)),"")&lt;&gt;"",IFERROR(INDEX(Baarn!$F$4:$F$38,MATCH($A64,Baarn!$C$4:$C$38,0)),""),IF(IFERROR(INDEX(Scherpenzeel!$F$4:$F$103,MATCH($A64,Scherpenzeel!$C$4:$C$103,0)),"")&lt;&gt;"",IFERROR(INDEX(Scherpenzeel!$F$4:$F$103,MATCH($A64,Scherpenzeel!$C$4:$C$103,0)),""),IF(IFERROR(INDEX('4'!$F$4:$F$103,MATCH($A64,'4'!$C$4:$C$103,0)),"")&lt;&gt;"",IFERROR(INDEX('4'!$F$4:$F$103,MATCH($A64,'4'!$C$4:$C$103,0)),""),IFERROR(INDEX('5'!$F$4:$F$103,MATCH($A64,'5'!$C$4:$C$103,0)),""))))))</f>
        <v>WV Schijndel</v>
      </c>
      <c r="C64" s="13" t="str">
        <f>IF($A64="","",IF(IFERROR(INDEX(Barneveld!$D$4:$D$36,MATCH($A64,Barneveld!$C$4:$C$36,0)),"")&lt;&gt;"",IFERROR(INDEX(Barneveld!$D$4:$D$36,MATCH($A64,Barneveld!$C$4:$C$36,0)),""),IF(IFERROR(INDEX(Baarn!$E$4:$E$38,MATCH($A64,Baarn!$C$4:$C$38,0)),"")&lt;&gt;"",IFERROR(INDEX(Baarn!$E$4:$E$38,MATCH($A64,Baarn!$C$4:$C$38,0)),""),IF(IFERROR(INDEX(Scherpenzeel!$E$4:$E$103,MATCH($A64,Scherpenzeel!$C$4:$C$103,0)),"")&lt;&gt;"",IFERROR(INDEX(Scherpenzeel!$E$4:$E$103,MATCH($A64,Scherpenzeel!$C$4:$C$103,0)),""),IF(IFERROR(INDEX('4'!$E$4:$E$103,MATCH($A64,'4'!$C$4:$C$103,0)),"")&lt;&gt;"",IFERROR(INDEX('4'!$E$4:$E$103,MATCH($A64,'4'!$C$4:$C$103,0)),""),IFERROR(INDEX('5'!$E$4:$E$103,MATCH($A64,'5'!$C$4:$C$103,0)),""))))))</f>
        <v>Junior (U19)</v>
      </c>
      <c r="D64" s="24" t="str">
        <f>IF($A64="","",IFERROR(INDEX(Barneveld!$A$4:$A$36,MATCH($A64,Barneveld!$C$4:$C$36,0)),""))</f>
        <v/>
      </c>
      <c r="E64" s="15">
        <f>IF($A64="",0,IFERROR(INDEX(Barneveld!$H$4:$H$36,MATCH($A64,Barneveld!$C$4:$C$36,0)),0))</f>
        <v>0</v>
      </c>
      <c r="F64" s="24" t="str">
        <f>IF($A64="","",IFERROR(INDEX(Baarn!$A$4:$A$38,MATCH($A64,Baarn!$C$4:$C$38,0)),""))</f>
        <v>DNF</v>
      </c>
      <c r="G64" s="15">
        <f>IF($A64="",0,IFERROR(INDEX(Baarn!$I$4:$I$38,MATCH($A64,Baarn!$C$4:$C$38,0)),0))</f>
        <v>1</v>
      </c>
      <c r="H64" s="24" t="str">
        <f>IF($A64="","",IFERROR(INDEX(Scherpenzeel!$A$4:$A$103,MATCH($A64,Scherpenzeel!$C$4:$C$103,0)),""))</f>
        <v/>
      </c>
      <c r="I64" s="15">
        <f>IF($A64="",0,IFERROR(INDEX(Scherpenzeel!$I$4:$I$103,MATCH($A64,Scherpenzeel!$C$4:$C$103,0)),0))</f>
        <v>0</v>
      </c>
      <c r="J64" s="24" t="str">
        <f>IF($A64="","",IFERROR(INDEX('4'!$A$4:$A$103,MATCH($A64,'4'!$C$4:$C$103,0)),""))</f>
        <v/>
      </c>
      <c r="K64" s="15">
        <f>IF($A64="",0,IFERROR(INDEX('4'!$I$4:$I$103,MATCH($A64,'4'!$C$4:$C$103,0)),0))</f>
        <v>0</v>
      </c>
      <c r="L64" s="24" t="str">
        <f>IF($A64="","",IFERROR(INDEX('5'!$A$4:$A$103,MATCH($A64,'5'!$C$4:$C$103,0)),""))</f>
        <v/>
      </c>
      <c r="M64" s="15">
        <f>IF($A64="",0,IFERROR(INDEX('5'!$I$4:$I$103,MATCH($A64,'5'!$C$4:$C$103,0)),0))</f>
        <v>0</v>
      </c>
      <c r="N64" s="25">
        <f>IF($A64="","",E64+G64+I64+K64+M64)</f>
        <v>1</v>
      </c>
      <c r="O64" s="26">
        <f>IF(OR($A64="",N64="",N64=0),"",RANK(N64,$N$4:$N$203,0))</f>
        <v>61</v>
      </c>
      <c r="AA64">
        <f>Baarn!C34</f>
        <v>0</v>
      </c>
      <c r="AB64">
        <f>IF(AA64="",0,IF(COUNTIF($AA$1:AA64,AA64)=1,1,0))</f>
        <v>0</v>
      </c>
      <c r="AC64" t="str">
        <f>IF(AB64=1,COUNTIF($AB$1:AB64,1),"")</f>
        <v/>
      </c>
    </row>
    <row r="65" spans="1:29" x14ac:dyDescent="0.25">
      <c r="A65" s="13" t="str">
        <f>IFERROR(INDEX($AA$1:$AA$368,MATCH(63,$AC$1:$AC$368,0)),"")</f>
        <v>Camiel Beuker</v>
      </c>
      <c r="B65" s="13" t="str">
        <f>IF($A65="","",IF(IFERROR(INDEX(Barneveld!$E$4:$E$36,MATCH($A65,Barneveld!$C$4:$C$36,0)),"")&lt;&gt;"",IFERROR(INDEX(Barneveld!$E$4:$E$36,MATCH($A65,Barneveld!$C$4:$C$36,0)),""),IF(IFERROR(INDEX(Baarn!$F$4:$F$38,MATCH($A65,Baarn!$C$4:$C$38,0)),"")&lt;&gt;"",IFERROR(INDEX(Baarn!$F$4:$F$38,MATCH($A65,Baarn!$C$4:$C$38,0)),""),IF(IFERROR(INDEX(Scherpenzeel!$F$4:$F$103,MATCH($A65,Scherpenzeel!$C$4:$C$103,0)),"")&lt;&gt;"",IFERROR(INDEX(Scherpenzeel!$F$4:$F$103,MATCH($A65,Scherpenzeel!$C$4:$C$103,0)),""),IF(IFERROR(INDEX('4'!$F$4:$F$103,MATCH($A65,'4'!$C$4:$C$103,0)),"")&lt;&gt;"",IFERROR(INDEX('4'!$F$4:$F$103,MATCH($A65,'4'!$C$4:$C$103,0)),""),IFERROR(INDEX('5'!$F$4:$F$103,MATCH($A65,'5'!$C$4:$C$103,0)),""))))))</f>
        <v>WV Het Stadion</v>
      </c>
      <c r="C65" s="13" t="str">
        <f>IF($A65="","",IF(IFERROR(INDEX(Barneveld!$D$4:$D$36,MATCH($A65,Barneveld!$C$4:$C$36,0)),"")&lt;&gt;"",IFERROR(INDEX(Barneveld!$D$4:$D$36,MATCH($A65,Barneveld!$C$4:$C$36,0)),""),IF(IFERROR(INDEX(Baarn!$E$4:$E$38,MATCH($A65,Baarn!$C$4:$C$38,0)),"")&lt;&gt;"",IFERROR(INDEX(Baarn!$E$4:$E$38,MATCH($A65,Baarn!$C$4:$C$38,0)),""),IF(IFERROR(INDEX(Scherpenzeel!$E$4:$E$103,MATCH($A65,Scherpenzeel!$C$4:$C$103,0)),"")&lt;&gt;"",IFERROR(INDEX(Scherpenzeel!$E$4:$E$103,MATCH($A65,Scherpenzeel!$C$4:$C$103,0)),""),IF(IFERROR(INDEX('4'!$E$4:$E$103,MATCH($A65,'4'!$C$4:$C$103,0)),"")&lt;&gt;"",IFERROR(INDEX('4'!$E$4:$E$103,MATCH($A65,'4'!$C$4:$C$103,0)),""),IFERROR(INDEX('5'!$E$4:$E$103,MATCH($A65,'5'!$C$4:$C$103,0)),""))))))</f>
        <v>Junior (U19)</v>
      </c>
      <c r="D65" s="24" t="str">
        <f>IF($A65="","",IFERROR(INDEX(Barneveld!$A$4:$A$36,MATCH($A65,Barneveld!$C$4:$C$36,0)),""))</f>
        <v/>
      </c>
      <c r="E65" s="15">
        <f>IF($A65="",0,IFERROR(INDEX(Barneveld!$H$4:$H$36,MATCH($A65,Barneveld!$C$4:$C$36,0)),0))</f>
        <v>0</v>
      </c>
      <c r="F65" s="24" t="str">
        <f>IF($A65="","",IFERROR(INDEX(Baarn!$A$4:$A$38,MATCH($A65,Baarn!$C$4:$C$38,0)),""))</f>
        <v/>
      </c>
      <c r="G65" s="15">
        <f>IF($A65="",0,IFERROR(INDEX(Baarn!$I$4:$I$38,MATCH($A65,Baarn!$C$4:$C$38,0)),0))</f>
        <v>0</v>
      </c>
      <c r="H65" s="24" t="str">
        <f>IF($A65="","",IFERROR(INDEX(Scherpenzeel!$A$4:$A$103,MATCH($A65,Scherpenzeel!$C$4:$C$103,0)),""))</f>
        <v>DNF</v>
      </c>
      <c r="I65" s="15">
        <f>IF($A65="",0,IFERROR(INDEX(Scherpenzeel!$I$4:$I$103,MATCH($A65,Scherpenzeel!$C$4:$C$103,0)),0))</f>
        <v>1</v>
      </c>
      <c r="J65" s="24" t="str">
        <f>IF($A65="","",IFERROR(INDEX('4'!$A$4:$A$103,MATCH($A65,'4'!$C$4:$C$103,0)),""))</f>
        <v/>
      </c>
      <c r="K65" s="15">
        <f>IF($A65="",0,IFERROR(INDEX('4'!$I$4:$I$103,MATCH($A65,'4'!$C$4:$C$103,0)),0))</f>
        <v>0</v>
      </c>
      <c r="L65" s="24" t="str">
        <f>IF($A65="","",IFERROR(INDEX('5'!$A$4:$A$103,MATCH($A65,'5'!$C$4:$C$103,0)),""))</f>
        <v/>
      </c>
      <c r="M65" s="15">
        <f>IF($A65="",0,IFERROR(INDEX('5'!$I$4:$I$103,MATCH($A65,'5'!$C$4:$C$103,0)),0))</f>
        <v>0</v>
      </c>
      <c r="N65" s="25">
        <f>IF($A65="","",E65+G65+I65+K65+M65)</f>
        <v>1</v>
      </c>
      <c r="O65" s="26">
        <f>IF(OR($A65="",N65="",N65=0),"",RANK(N65,$N$4:$N$203,0))</f>
        <v>61</v>
      </c>
      <c r="AA65">
        <f>Baarn!C35</f>
        <v>0</v>
      </c>
      <c r="AB65">
        <f>IF(AA65="",0,IF(COUNTIF($AA$1:AA65,AA65)=1,1,0))</f>
        <v>0</v>
      </c>
      <c r="AC65" t="str">
        <f>IF(AB65=1,COUNTIF($AB$1:AB65,1),"")</f>
        <v/>
      </c>
    </row>
    <row r="66" spans="1:29" x14ac:dyDescent="0.25">
      <c r="A66" s="13" t="str">
        <f>IFERROR(INDEX($AA$1:$AA$368,MATCH(64,$AC$1:$AC$368,0)),"")</f>
        <v>Rick Schuurman</v>
      </c>
      <c r="B66" s="13" t="str">
        <f>IF($A66="","",IF(IFERROR(INDEX(Barneveld!$E$4:$E$36,MATCH($A66,Barneveld!$C$4:$C$36,0)),"")&lt;&gt;"",IFERROR(INDEX(Barneveld!$E$4:$E$36,MATCH($A66,Barneveld!$C$4:$C$36,0)),""),IF(IFERROR(INDEX(Baarn!$F$4:$F$38,MATCH($A66,Baarn!$C$4:$C$38,0)),"")&lt;&gt;"",IFERROR(INDEX(Baarn!$F$4:$F$38,MATCH($A66,Baarn!$C$4:$C$38,0)),""),IF(IFERROR(INDEX(Scherpenzeel!$F$4:$F$103,MATCH($A66,Scherpenzeel!$C$4:$C$103,0)),"")&lt;&gt;"",IFERROR(INDEX(Scherpenzeel!$F$4:$F$103,MATCH($A66,Scherpenzeel!$C$4:$C$103,0)),""),IF(IFERROR(INDEX('4'!$F$4:$F$103,MATCH($A66,'4'!$C$4:$C$103,0)),"")&lt;&gt;"",IFERROR(INDEX('4'!$F$4:$F$103,MATCH($A66,'4'!$C$4:$C$103,0)),""),IFERROR(INDEX('5'!$F$4:$F$103,MATCH($A66,'5'!$C$4:$C$103,0)),""))))))</f>
        <v>WSV de Peddelaars</v>
      </c>
      <c r="C66" s="13" t="str">
        <f>IF($A66="","",IF(IFERROR(INDEX(Barneveld!$D$4:$D$36,MATCH($A66,Barneveld!$C$4:$C$36,0)),"")&lt;&gt;"",IFERROR(INDEX(Barneveld!$D$4:$D$36,MATCH($A66,Barneveld!$C$4:$C$36,0)),""),IF(IFERROR(INDEX(Baarn!$E$4:$E$38,MATCH($A66,Baarn!$C$4:$C$38,0)),"")&lt;&gt;"",IFERROR(INDEX(Baarn!$E$4:$E$38,MATCH($A66,Baarn!$C$4:$C$38,0)),""),IF(IFERROR(INDEX(Scherpenzeel!$E$4:$E$103,MATCH($A66,Scherpenzeel!$C$4:$C$103,0)),"")&lt;&gt;"",IFERROR(INDEX(Scherpenzeel!$E$4:$E$103,MATCH($A66,Scherpenzeel!$C$4:$C$103,0)),""),IF(IFERROR(INDEX('4'!$E$4:$E$103,MATCH($A66,'4'!$C$4:$C$103,0)),"")&lt;&gt;"",IFERROR(INDEX('4'!$E$4:$E$103,MATCH($A66,'4'!$C$4:$C$103,0)),""),IFERROR(INDEX('5'!$E$4:$E$103,MATCH($A66,'5'!$C$4:$C$103,0)),""))))))</f>
        <v>Junior (U19)</v>
      </c>
      <c r="D66" s="24" t="str">
        <f>IF($A66="","",IFERROR(INDEX(Barneveld!$A$4:$A$36,MATCH($A66,Barneveld!$C$4:$C$36,0)),""))</f>
        <v/>
      </c>
      <c r="E66" s="15">
        <f>IF($A66="",0,IFERROR(INDEX(Barneveld!$H$4:$H$36,MATCH($A66,Barneveld!$C$4:$C$36,0)),0))</f>
        <v>0</v>
      </c>
      <c r="F66" s="24" t="str">
        <f>IF($A66="","",IFERROR(INDEX(Baarn!$A$4:$A$38,MATCH($A66,Baarn!$C$4:$C$38,0)),""))</f>
        <v/>
      </c>
      <c r="G66" s="15">
        <f>IF($A66="",0,IFERROR(INDEX(Baarn!$I$4:$I$38,MATCH($A66,Baarn!$C$4:$C$38,0)),0))</f>
        <v>0</v>
      </c>
      <c r="H66" s="24" t="str">
        <f>IF($A66="","",IFERROR(INDEX(Scherpenzeel!$A$4:$A$103,MATCH($A66,Scherpenzeel!$C$4:$C$103,0)),""))</f>
        <v>DNF</v>
      </c>
      <c r="I66" s="15">
        <f>IF($A66="",0,IFERROR(INDEX(Scherpenzeel!$I$4:$I$103,MATCH($A66,Scherpenzeel!$C$4:$C$103,0)),0))</f>
        <v>1</v>
      </c>
      <c r="J66" s="24" t="str">
        <f>IF($A66="","",IFERROR(INDEX('4'!$A$4:$A$103,MATCH($A66,'4'!$C$4:$C$103,0)),""))</f>
        <v/>
      </c>
      <c r="K66" s="15">
        <f>IF($A66="",0,IFERROR(INDEX('4'!$I$4:$I$103,MATCH($A66,'4'!$C$4:$C$103,0)),0))</f>
        <v>0</v>
      </c>
      <c r="L66" s="24" t="str">
        <f>IF($A66="","",IFERROR(INDEX('5'!$A$4:$A$103,MATCH($A66,'5'!$C$4:$C$103,0)),""))</f>
        <v/>
      </c>
      <c r="M66" s="15">
        <f>IF($A66="",0,IFERROR(INDEX('5'!$I$4:$I$103,MATCH($A66,'5'!$C$4:$C$103,0)),0))</f>
        <v>0</v>
      </c>
      <c r="N66" s="25">
        <f>IF($A66="","",E66+G66+I66+K66+M66)</f>
        <v>1</v>
      </c>
      <c r="O66" s="26">
        <f>IF(OR($A66="",N66="",N66=0),"",RANK(N66,$N$4:$N$203,0))</f>
        <v>61</v>
      </c>
      <c r="AA66">
        <f>Baarn!C36</f>
        <v>0</v>
      </c>
      <c r="AB66">
        <f>IF(AA66="",0,IF(COUNTIF($AA$1:AA66,AA66)=1,1,0))</f>
        <v>0</v>
      </c>
      <c r="AC66" t="str">
        <f>IF(AB66=1,COUNTIF($AB$1:AB66,1),"")</f>
        <v/>
      </c>
    </row>
    <row r="67" spans="1:29" x14ac:dyDescent="0.25">
      <c r="A67" s="13" t="str">
        <f>IFERROR(INDEX($AA$1:$AA$368,MATCH(65,$AC$1:$AC$368,0)),"")</f>
        <v>Marc Borst</v>
      </c>
      <c r="B67" s="13" t="str">
        <f>IF($A67="","",IF(IFERROR(INDEX(Barneveld!$E$4:$E$36,MATCH($A67,Barneveld!$C$4:$C$36,0)),"")&lt;&gt;"",IFERROR(INDEX(Barneveld!$E$4:$E$36,MATCH($A67,Barneveld!$C$4:$C$36,0)),""),IF(IFERROR(INDEX(Baarn!$F$4:$F$38,MATCH($A67,Baarn!$C$4:$C$38,0)),"")&lt;&gt;"",IFERROR(INDEX(Baarn!$F$4:$F$38,MATCH($A67,Baarn!$C$4:$C$38,0)),""),IF(IFERROR(INDEX(Scherpenzeel!$F$4:$F$103,MATCH($A67,Scherpenzeel!$C$4:$C$103,0)),"")&lt;&gt;"",IFERROR(INDEX(Scherpenzeel!$F$4:$F$103,MATCH($A67,Scherpenzeel!$C$4:$C$103,0)),""),IF(IFERROR(INDEX('4'!$F$4:$F$103,MATCH($A67,'4'!$C$4:$C$103,0)),"")&lt;&gt;"",IFERROR(INDEX('4'!$F$4:$F$103,MATCH($A67,'4'!$C$4:$C$103,0)),""),IFERROR(INDEX('5'!$F$4:$F$103,MATCH($A67,'5'!$C$4:$C$103,0)),""))))))</f>
        <v>Team DFM</v>
      </c>
      <c r="C67" s="13" t="str">
        <f>IF($A67="","",IF(IFERROR(INDEX(Barneveld!$D$4:$D$36,MATCH($A67,Barneveld!$C$4:$C$36,0)),"")&lt;&gt;"",IFERROR(INDEX(Barneveld!$D$4:$D$36,MATCH($A67,Barneveld!$C$4:$C$36,0)),""),IF(IFERROR(INDEX(Baarn!$E$4:$E$38,MATCH($A67,Baarn!$C$4:$C$38,0)),"")&lt;&gt;"",IFERROR(INDEX(Baarn!$E$4:$E$38,MATCH($A67,Baarn!$C$4:$C$38,0)),""),IF(IFERROR(INDEX(Scherpenzeel!$E$4:$E$103,MATCH($A67,Scherpenzeel!$C$4:$C$103,0)),"")&lt;&gt;"",IFERROR(INDEX(Scherpenzeel!$E$4:$E$103,MATCH($A67,Scherpenzeel!$C$4:$C$103,0)),""),IF(IFERROR(INDEX('4'!$E$4:$E$103,MATCH($A67,'4'!$C$4:$C$103,0)),"")&lt;&gt;"",IFERROR(INDEX('4'!$E$4:$E$103,MATCH($A67,'4'!$C$4:$C$103,0)),""),IFERROR(INDEX('5'!$E$4:$E$103,MATCH($A67,'5'!$C$4:$C$103,0)),""))))))</f>
        <v>KNWU Licentie (Plus)</v>
      </c>
      <c r="D67" s="24" t="str">
        <f>IF($A67="","",IFERROR(INDEX(Barneveld!$A$4:$A$36,MATCH($A67,Barneveld!$C$4:$C$36,0)),""))</f>
        <v/>
      </c>
      <c r="E67" s="15">
        <f>IF($A67="",0,IFERROR(INDEX(Barneveld!$H$4:$H$36,MATCH($A67,Barneveld!$C$4:$C$36,0)),0))</f>
        <v>0</v>
      </c>
      <c r="F67" s="24" t="str">
        <f>IF($A67="","",IFERROR(INDEX(Baarn!$A$4:$A$38,MATCH($A67,Baarn!$C$4:$C$38,0)),""))</f>
        <v/>
      </c>
      <c r="G67" s="15">
        <f>IF($A67="",0,IFERROR(INDEX(Baarn!$I$4:$I$38,MATCH($A67,Baarn!$C$4:$C$38,0)),0))</f>
        <v>0</v>
      </c>
      <c r="H67" s="24" t="str">
        <f>IF($A67="","",IFERROR(INDEX(Scherpenzeel!$A$4:$A$103,MATCH($A67,Scherpenzeel!$C$4:$C$103,0)),""))</f>
        <v>DNF</v>
      </c>
      <c r="I67" s="15">
        <f>IF($A67="",0,IFERROR(INDEX(Scherpenzeel!$I$4:$I$103,MATCH($A67,Scherpenzeel!$C$4:$C$103,0)),0))</f>
        <v>1</v>
      </c>
      <c r="J67" s="24" t="str">
        <f>IF($A67="","",IFERROR(INDEX('4'!$A$4:$A$103,MATCH($A67,'4'!$C$4:$C$103,0)),""))</f>
        <v/>
      </c>
      <c r="K67" s="15">
        <f>IF($A67="",0,IFERROR(INDEX('4'!$I$4:$I$103,MATCH($A67,'4'!$C$4:$C$103,0)),0))</f>
        <v>0</v>
      </c>
      <c r="L67" s="24" t="str">
        <f>IF($A67="","",IFERROR(INDEX('5'!$A$4:$A$103,MATCH($A67,'5'!$C$4:$C$103,0)),""))</f>
        <v/>
      </c>
      <c r="M67" s="15">
        <f>IF($A67="",0,IFERROR(INDEX('5'!$I$4:$I$103,MATCH($A67,'5'!$C$4:$C$103,0)),0))</f>
        <v>0</v>
      </c>
      <c r="N67" s="25">
        <f>IF($A67="","",E67+G67+I67+K67+M67)</f>
        <v>1</v>
      </c>
      <c r="O67" s="26">
        <f>IF(OR($A67="",N67="",N67=0),"",RANK(N67,$N$4:$N$203,0))</f>
        <v>61</v>
      </c>
      <c r="AA67">
        <f>Baarn!C37</f>
        <v>0</v>
      </c>
      <c r="AB67">
        <f>IF(AA67="",0,IF(COUNTIF($AA$1:AA67,AA67)=1,1,0))</f>
        <v>0</v>
      </c>
      <c r="AC67" t="str">
        <f>IF(AB67=1,COUNTIF($AB$1:AB67,1),"")</f>
        <v/>
      </c>
    </row>
    <row r="68" spans="1:29" x14ac:dyDescent="0.25">
      <c r="A68" s="13" t="str">
        <f>IFERROR(INDEX($AA$1:$AA$368,MATCH(66,$AC$1:$AC$368,0)),"")</f>
        <v>Menno van Capel</v>
      </c>
      <c r="B68" s="13" t="str">
        <f>IF($A68="","",IF(IFERROR(INDEX(Barneveld!$E$4:$E$36,MATCH($A68,Barneveld!$C$4:$C$36,0)),"")&lt;&gt;"",IFERROR(INDEX(Barneveld!$E$4:$E$36,MATCH($A68,Barneveld!$C$4:$C$36,0)),""),IF(IFERROR(INDEX(Baarn!$F$4:$F$38,MATCH($A68,Baarn!$C$4:$C$38,0)),"")&lt;&gt;"",IFERROR(INDEX(Baarn!$F$4:$F$38,MATCH($A68,Baarn!$C$4:$C$38,0)),""),IF(IFERROR(INDEX(Scherpenzeel!$F$4:$F$103,MATCH($A68,Scherpenzeel!$C$4:$C$103,0)),"")&lt;&gt;"",IFERROR(INDEX(Scherpenzeel!$F$4:$F$103,MATCH($A68,Scherpenzeel!$C$4:$C$103,0)),""),IF(IFERROR(INDEX('4'!$F$4:$F$103,MATCH($A68,'4'!$C$4:$C$103,0)),"")&lt;&gt;"",IFERROR(INDEX('4'!$F$4:$F$103,MATCH($A68,'4'!$C$4:$C$103,0)),""),IFERROR(INDEX('5'!$F$4:$F$103,MATCH($A68,'5'!$C$4:$C$103,0)),""))))))</f>
        <v>Uithoornse WTC</v>
      </c>
      <c r="C68" s="13" t="str">
        <f>IF($A68="","",IF(IFERROR(INDEX(Barneveld!$D$4:$D$36,MATCH($A68,Barneveld!$C$4:$C$36,0)),"")&lt;&gt;"",IFERROR(INDEX(Barneveld!$D$4:$D$36,MATCH($A68,Barneveld!$C$4:$C$36,0)),""),IF(IFERROR(INDEX(Baarn!$E$4:$E$38,MATCH($A68,Baarn!$C$4:$C$38,0)),"")&lt;&gt;"",IFERROR(INDEX(Baarn!$E$4:$E$38,MATCH($A68,Baarn!$C$4:$C$38,0)),""),IF(IFERROR(INDEX(Scherpenzeel!$E$4:$E$103,MATCH($A68,Scherpenzeel!$C$4:$C$103,0)),"")&lt;&gt;"",IFERROR(INDEX(Scherpenzeel!$E$4:$E$103,MATCH($A68,Scherpenzeel!$C$4:$C$103,0)),""),IF(IFERROR(INDEX('4'!$E$4:$E$103,MATCH($A68,'4'!$C$4:$C$103,0)),"")&lt;&gt;"",IFERROR(INDEX('4'!$E$4:$E$103,MATCH($A68,'4'!$C$4:$C$103,0)),""),IFERROR(INDEX('5'!$E$4:$E$103,MATCH($A68,'5'!$C$4:$C$103,0)),""))))))</f>
        <v>KNWU Licentie (Plus)</v>
      </c>
      <c r="D68" s="24" t="str">
        <f>IF($A68="","",IFERROR(INDEX(Barneveld!$A$4:$A$36,MATCH($A68,Barneveld!$C$4:$C$36,0)),""))</f>
        <v/>
      </c>
      <c r="E68" s="15">
        <f>IF($A68="",0,IFERROR(INDEX(Barneveld!$H$4:$H$36,MATCH($A68,Barneveld!$C$4:$C$36,0)),0))</f>
        <v>0</v>
      </c>
      <c r="F68" s="24" t="str">
        <f>IF($A68="","",IFERROR(INDEX(Baarn!$A$4:$A$38,MATCH($A68,Baarn!$C$4:$C$38,0)),""))</f>
        <v/>
      </c>
      <c r="G68" s="15">
        <f>IF($A68="",0,IFERROR(INDEX(Baarn!$I$4:$I$38,MATCH($A68,Baarn!$C$4:$C$38,0)),0))</f>
        <v>0</v>
      </c>
      <c r="H68" s="24" t="str">
        <f>IF($A68="","",IFERROR(INDEX(Scherpenzeel!$A$4:$A$103,MATCH($A68,Scherpenzeel!$C$4:$C$103,0)),""))</f>
        <v>DNF</v>
      </c>
      <c r="I68" s="15">
        <f>IF($A68="",0,IFERROR(INDEX(Scherpenzeel!$I$4:$I$103,MATCH($A68,Scherpenzeel!$C$4:$C$103,0)),0))</f>
        <v>1</v>
      </c>
      <c r="J68" s="24" t="str">
        <f>IF($A68="","",IFERROR(INDEX('4'!$A$4:$A$103,MATCH($A68,'4'!$C$4:$C$103,0)),""))</f>
        <v/>
      </c>
      <c r="K68" s="15">
        <f>IF($A68="",0,IFERROR(INDEX('4'!$I$4:$I$103,MATCH($A68,'4'!$C$4:$C$103,0)),0))</f>
        <v>0</v>
      </c>
      <c r="L68" s="24" t="str">
        <f>IF($A68="","",IFERROR(INDEX('5'!$A$4:$A$103,MATCH($A68,'5'!$C$4:$C$103,0)),""))</f>
        <v/>
      </c>
      <c r="M68" s="15">
        <f>IF($A68="",0,IFERROR(INDEX('5'!$I$4:$I$103,MATCH($A68,'5'!$C$4:$C$103,0)),0))</f>
        <v>0</v>
      </c>
      <c r="N68" s="25">
        <f>IF($A68="","",E68+G68+I68+K68+M68)</f>
        <v>1</v>
      </c>
      <c r="O68" s="26">
        <f>IF(OR($A68="",N68="",N68=0),"",RANK(N68,$N$4:$N$203,0))</f>
        <v>61</v>
      </c>
      <c r="AA68">
        <f>Baarn!C38</f>
        <v>0</v>
      </c>
      <c r="AB68">
        <f>IF(AA68="",0,IF(COUNTIF($AA$1:AA68,AA68)=1,1,0))</f>
        <v>0</v>
      </c>
      <c r="AC68" t="str">
        <f>IF(AB68=1,COUNTIF($AB$1:AB68,1),"")</f>
        <v/>
      </c>
    </row>
    <row r="69" spans="1:29" x14ac:dyDescent="0.25">
      <c r="A69" s="13" t="str">
        <f>IFERROR(INDEX($AA$1:$AA$368,MATCH(67,$AC$1:$AC$368,0)),"")</f>
        <v>Kion van Es</v>
      </c>
      <c r="B69" s="13" t="str">
        <f>IF($A69="","",IF(IFERROR(INDEX(Barneveld!$E$4:$E$36,MATCH($A69,Barneveld!$C$4:$C$36,0)),"")&lt;&gt;"",IFERROR(INDEX(Barneveld!$E$4:$E$36,MATCH($A69,Barneveld!$C$4:$C$36,0)),""),IF(IFERROR(INDEX(Baarn!$F$4:$F$38,MATCH($A69,Baarn!$C$4:$C$38,0)),"")&lt;&gt;"",IFERROR(INDEX(Baarn!$F$4:$F$38,MATCH($A69,Baarn!$C$4:$C$38,0)),""),IF(IFERROR(INDEX(Scherpenzeel!$F$4:$F$103,MATCH($A69,Scherpenzeel!$C$4:$C$103,0)),"")&lt;&gt;"",IFERROR(INDEX(Scherpenzeel!$F$4:$F$103,MATCH($A69,Scherpenzeel!$C$4:$C$103,0)),""),IF(IFERROR(INDEX('4'!$F$4:$F$103,MATCH($A69,'4'!$C$4:$C$103,0)),"")&lt;&gt;"",IFERROR(INDEX('4'!$F$4:$F$103,MATCH($A69,'4'!$C$4:$C$103,0)),""),IFERROR(INDEX('5'!$F$4:$F$103,MATCH($A69,'5'!$C$4:$C$103,0)),""))))))</f>
        <v>UWTC de Volharding</v>
      </c>
      <c r="C69" s="13" t="str">
        <f>IF($A69="","",IF(IFERROR(INDEX(Barneveld!$D$4:$D$36,MATCH($A69,Barneveld!$C$4:$C$36,0)),"")&lt;&gt;"",IFERROR(INDEX(Barneveld!$D$4:$D$36,MATCH($A69,Barneveld!$C$4:$C$36,0)),""),IF(IFERROR(INDEX(Baarn!$E$4:$E$38,MATCH($A69,Baarn!$C$4:$C$38,0)),"")&lt;&gt;"",IFERROR(INDEX(Baarn!$E$4:$E$38,MATCH($A69,Baarn!$C$4:$C$38,0)),""),IF(IFERROR(INDEX(Scherpenzeel!$E$4:$E$103,MATCH($A69,Scherpenzeel!$C$4:$C$103,0)),"")&lt;&gt;"",IFERROR(INDEX(Scherpenzeel!$E$4:$E$103,MATCH($A69,Scherpenzeel!$C$4:$C$103,0)),""),IF(IFERROR(INDEX('4'!$E$4:$E$103,MATCH($A69,'4'!$C$4:$C$103,0)),"")&lt;&gt;"",IFERROR(INDEX('4'!$E$4:$E$103,MATCH($A69,'4'!$C$4:$C$103,0)),""),IFERROR(INDEX('5'!$E$4:$E$103,MATCH($A69,'5'!$C$4:$C$103,0)),""))))))</f>
        <v>KNWU Licentie (Plus)</v>
      </c>
      <c r="D69" s="24" t="str">
        <f>IF($A69="","",IFERROR(INDEX(Barneveld!$A$4:$A$36,MATCH($A69,Barneveld!$C$4:$C$36,0)),""))</f>
        <v/>
      </c>
      <c r="E69" s="15">
        <f>IF($A69="",0,IFERROR(INDEX(Barneveld!$H$4:$H$36,MATCH($A69,Barneveld!$C$4:$C$36,0)),0))</f>
        <v>0</v>
      </c>
      <c r="F69" s="24" t="str">
        <f>IF($A69="","",IFERROR(INDEX(Baarn!$A$4:$A$38,MATCH($A69,Baarn!$C$4:$C$38,0)),""))</f>
        <v/>
      </c>
      <c r="G69" s="15">
        <f>IF($A69="",0,IFERROR(INDEX(Baarn!$I$4:$I$38,MATCH($A69,Baarn!$C$4:$C$38,0)),0))</f>
        <v>0</v>
      </c>
      <c r="H69" s="24" t="str">
        <f>IF($A69="","",IFERROR(INDEX(Scherpenzeel!$A$4:$A$103,MATCH($A69,Scherpenzeel!$C$4:$C$103,0)),""))</f>
        <v>DNF</v>
      </c>
      <c r="I69" s="15">
        <f>IF($A69="",0,IFERROR(INDEX(Scherpenzeel!$I$4:$I$103,MATCH($A69,Scherpenzeel!$C$4:$C$103,0)),0))</f>
        <v>1</v>
      </c>
      <c r="J69" s="24" t="str">
        <f>IF($A69="","",IFERROR(INDEX('4'!$A$4:$A$103,MATCH($A69,'4'!$C$4:$C$103,0)),""))</f>
        <v/>
      </c>
      <c r="K69" s="15">
        <f>IF($A69="",0,IFERROR(INDEX('4'!$I$4:$I$103,MATCH($A69,'4'!$C$4:$C$103,0)),0))</f>
        <v>0</v>
      </c>
      <c r="L69" s="24" t="str">
        <f>IF($A69="","",IFERROR(INDEX('5'!$A$4:$A$103,MATCH($A69,'5'!$C$4:$C$103,0)),""))</f>
        <v/>
      </c>
      <c r="M69" s="15">
        <f>IF($A69="",0,IFERROR(INDEX('5'!$I$4:$I$103,MATCH($A69,'5'!$C$4:$C$103,0)),0))</f>
        <v>0</v>
      </c>
      <c r="N69" s="25">
        <f>IF($A69="","",E69+G69+I69+K69+M69)</f>
        <v>1</v>
      </c>
      <c r="O69" s="26">
        <f>IF(OR($A69="",N69="",N69=0),"",RANK(N69,$N$4:$N$203,0))</f>
        <v>61</v>
      </c>
      <c r="AA69" t="str">
        <f>Scherpenzeel!C4</f>
        <v>Robert de Jong</v>
      </c>
      <c r="AB69">
        <f>IF(AA69="",0,IF(COUNTIF($AA$1:AA69,AA69)=1,1,0))</f>
        <v>1</v>
      </c>
      <c r="AC69">
        <f>IF(AB69=1,COUNTIF($AB$1:AB69,1),"")</f>
        <v>47</v>
      </c>
    </row>
    <row r="70" spans="1:29" x14ac:dyDescent="0.25">
      <c r="A70" s="13" t="str">
        <f>IFERROR(INDEX($AA$1:$AA$368,MATCH(68,$AC$1:$AC$368,0)),"")</f>
        <v>Arjen Veldhuizen</v>
      </c>
      <c r="B70" s="13" t="str">
        <f>IF($A70="","",IF(IFERROR(INDEX(Barneveld!$E$4:$E$36,MATCH($A70,Barneveld!$C$4:$C$36,0)),"")&lt;&gt;"",IFERROR(INDEX(Barneveld!$E$4:$E$36,MATCH($A70,Barneveld!$C$4:$C$36,0)),""),IF(IFERROR(INDEX(Baarn!$F$4:$F$38,MATCH($A70,Baarn!$C$4:$C$38,0)),"")&lt;&gt;"",IFERROR(INDEX(Baarn!$F$4:$F$38,MATCH($A70,Baarn!$C$4:$C$38,0)),""),IF(IFERROR(INDEX(Scherpenzeel!$F$4:$F$103,MATCH($A70,Scherpenzeel!$C$4:$C$103,0)),"")&lt;&gt;"",IFERROR(INDEX(Scherpenzeel!$F$4:$F$103,MATCH($A70,Scherpenzeel!$C$4:$C$103,0)),""),IF(IFERROR(INDEX('4'!$F$4:$F$103,MATCH($A70,'4'!$C$4:$C$103,0)),"")&lt;&gt;"",IFERROR(INDEX('4'!$F$4:$F$103,MATCH($A70,'4'!$C$4:$C$103,0)),""),IFERROR(INDEX('5'!$F$4:$F$103,MATCH($A70,'5'!$C$4:$C$103,0)),""))))))</f>
        <v>KNWU</v>
      </c>
      <c r="C70" s="13" t="str">
        <f>IF($A70="","",IF(IFERROR(INDEX(Barneveld!$D$4:$D$36,MATCH($A70,Barneveld!$C$4:$C$36,0)),"")&lt;&gt;"",IFERROR(INDEX(Barneveld!$D$4:$D$36,MATCH($A70,Barneveld!$C$4:$C$36,0)),""),IF(IFERROR(INDEX(Baarn!$E$4:$E$38,MATCH($A70,Baarn!$C$4:$C$38,0)),"")&lt;&gt;"",IFERROR(INDEX(Baarn!$E$4:$E$38,MATCH($A70,Baarn!$C$4:$C$38,0)),""),IF(IFERROR(INDEX(Scherpenzeel!$E$4:$E$103,MATCH($A70,Scherpenzeel!$C$4:$C$103,0)),"")&lt;&gt;"",IFERROR(INDEX(Scherpenzeel!$E$4:$E$103,MATCH($A70,Scherpenzeel!$C$4:$C$103,0)),""),IF(IFERROR(INDEX('4'!$E$4:$E$103,MATCH($A70,'4'!$C$4:$C$103,0)),"")&lt;&gt;"",IFERROR(INDEX('4'!$E$4:$E$103,MATCH($A70,'4'!$C$4:$C$103,0)),""),IFERROR(INDEX('5'!$E$4:$E$103,MATCH($A70,'5'!$C$4:$C$103,0)),""))))))</f>
        <v>KNWU Licentie (Plus)</v>
      </c>
      <c r="D70" s="24" t="str">
        <f>IF($A70="","",IFERROR(INDEX(Barneveld!$A$4:$A$36,MATCH($A70,Barneveld!$C$4:$C$36,0)),""))</f>
        <v/>
      </c>
      <c r="E70" s="15">
        <f>IF($A70="",0,IFERROR(INDEX(Barneveld!$H$4:$H$36,MATCH($A70,Barneveld!$C$4:$C$36,0)),0))</f>
        <v>0</v>
      </c>
      <c r="F70" s="24" t="str">
        <f>IF($A70="","",IFERROR(INDEX(Baarn!$A$4:$A$38,MATCH($A70,Baarn!$C$4:$C$38,0)),""))</f>
        <v/>
      </c>
      <c r="G70" s="15">
        <f>IF($A70="",0,IFERROR(INDEX(Baarn!$I$4:$I$38,MATCH($A70,Baarn!$C$4:$C$38,0)),0))</f>
        <v>0</v>
      </c>
      <c r="H70" s="24" t="str">
        <f>IF($A70="","",IFERROR(INDEX(Scherpenzeel!$A$4:$A$103,MATCH($A70,Scherpenzeel!$C$4:$C$103,0)),""))</f>
        <v>DNF</v>
      </c>
      <c r="I70" s="15">
        <f>IF($A70="",0,IFERROR(INDEX(Scherpenzeel!$I$4:$I$103,MATCH($A70,Scherpenzeel!$C$4:$C$103,0)),0))</f>
        <v>1</v>
      </c>
      <c r="J70" s="24" t="str">
        <f>IF($A70="","",IFERROR(INDEX('4'!$A$4:$A$103,MATCH($A70,'4'!$C$4:$C$103,0)),""))</f>
        <v/>
      </c>
      <c r="K70" s="15">
        <f>IF($A70="",0,IFERROR(INDEX('4'!$I$4:$I$103,MATCH($A70,'4'!$C$4:$C$103,0)),0))</f>
        <v>0</v>
      </c>
      <c r="L70" s="24" t="str">
        <f>IF($A70="","",IFERROR(INDEX('5'!$A$4:$A$103,MATCH($A70,'5'!$C$4:$C$103,0)),""))</f>
        <v/>
      </c>
      <c r="M70" s="15">
        <f>IF($A70="",0,IFERROR(INDEX('5'!$I$4:$I$103,MATCH($A70,'5'!$C$4:$C$103,0)),0))</f>
        <v>0</v>
      </c>
      <c r="N70" s="25">
        <f>IF($A70="","",E70+G70+I70+K70+M70)</f>
        <v>1</v>
      </c>
      <c r="O70" s="26">
        <f>IF(OR($A70="",N70="",N70=0),"",RANK(N70,$N$4:$N$203,0))</f>
        <v>61</v>
      </c>
      <c r="AA70" t="str">
        <f>Scherpenzeel!C5</f>
        <v>Lennart Nelisse</v>
      </c>
      <c r="AB70">
        <f>IF(AA70="",0,IF(COUNTIF($AA$1:AA70,AA70)=1,1,0))</f>
        <v>1</v>
      </c>
      <c r="AC70">
        <f>IF(AB70=1,COUNTIF($AB$1:AB70,1),"")</f>
        <v>48</v>
      </c>
    </row>
    <row r="71" spans="1:29" x14ac:dyDescent="0.25">
      <c r="A71" s="13">
        <f>IFERROR(INDEX($AA$1:$AA$368,MATCH(32,$AC$1:$AC$368,0)),"")</f>
        <v>0</v>
      </c>
      <c r="B71" s="13" t="str">
        <f>IF($A71="","",IF(IFERROR(INDEX(Barneveld!$E$4:$E$36,MATCH($A71,Barneveld!$C$4:$C$36,0)),"")&lt;&gt;"",IFERROR(INDEX(Barneveld!$E$4:$E$36,MATCH($A71,Barneveld!$C$4:$C$36,0)),""),IF(IFERROR(INDEX(Baarn!$F$4:$F$38,MATCH($A71,Baarn!$C$4:$C$38,0)),"")&lt;&gt;"",IFERROR(INDEX(Baarn!$F$4:$F$38,MATCH($A71,Baarn!$C$4:$C$38,0)),""),IF(IFERROR(INDEX(Scherpenzeel!$F$4:$F$103,MATCH($A71,Scherpenzeel!$C$4:$C$103,0)),"")&lt;&gt;"",IFERROR(INDEX(Scherpenzeel!$F$4:$F$103,MATCH($A71,Scherpenzeel!$C$4:$C$103,0)),""),IF(IFERROR(INDEX('4'!$F$4:$F$103,MATCH($A71,'4'!$C$4:$C$103,0)),"")&lt;&gt;"",IFERROR(INDEX('4'!$F$4:$F$103,MATCH($A71,'4'!$C$4:$C$103,0)),""),IFERROR(INDEX('5'!$F$4:$F$103,MATCH($A71,'5'!$C$4:$C$103,0)),""))))))</f>
        <v/>
      </c>
      <c r="C71" s="13" t="str">
        <f>IF($A71="","",IF(IFERROR(INDEX(Barneveld!$D$4:$D$36,MATCH($A71,Barneveld!$C$4:$C$36,0)),"")&lt;&gt;"",IFERROR(INDEX(Barneveld!$D$4:$D$36,MATCH($A71,Barneveld!$C$4:$C$36,0)),""),IF(IFERROR(INDEX(Baarn!$E$4:$E$38,MATCH($A71,Baarn!$C$4:$C$38,0)),"")&lt;&gt;"",IFERROR(INDEX(Baarn!$E$4:$E$38,MATCH($A71,Baarn!$C$4:$C$38,0)),""),IF(IFERROR(INDEX(Scherpenzeel!$E$4:$E$103,MATCH($A71,Scherpenzeel!$C$4:$C$103,0)),"")&lt;&gt;"",IFERROR(INDEX(Scherpenzeel!$E$4:$E$103,MATCH($A71,Scherpenzeel!$C$4:$C$103,0)),""),IF(IFERROR(INDEX('4'!$E$4:$E$103,MATCH($A71,'4'!$C$4:$C$103,0)),"")&lt;&gt;"",IFERROR(INDEX('4'!$E$4:$E$103,MATCH($A71,'4'!$C$4:$C$103,0)),""),IFERROR(INDEX('5'!$E$4:$E$103,MATCH($A71,'5'!$C$4:$C$103,0)),""))))))</f>
        <v/>
      </c>
      <c r="D71" s="24" t="str">
        <f>IF($A71="","",IFERROR(INDEX(Barneveld!$A$4:$A$36,MATCH($A71,Barneveld!$C$4:$C$36,0)),""))</f>
        <v/>
      </c>
      <c r="E71" s="15">
        <f>IF($A71="",0,IFERROR(INDEX(Barneveld!$H$4:$H$36,MATCH($A71,Barneveld!$C$4:$C$36,0)),0))</f>
        <v>0</v>
      </c>
      <c r="F71" s="24" t="str">
        <f>IF($A71="","",IFERROR(INDEX(Baarn!$A$4:$A$38,MATCH($A71,Baarn!$C$4:$C$38,0)),""))</f>
        <v/>
      </c>
      <c r="G71" s="15">
        <f>IF($A71="",0,IFERROR(INDEX(Baarn!$I$4:$I$38,MATCH($A71,Baarn!$C$4:$C$38,0)),0))</f>
        <v>0</v>
      </c>
      <c r="H71" s="24" t="str">
        <f>IF($A71="","",IFERROR(INDEX(Scherpenzeel!$A$4:$A$103,MATCH($A71,Scherpenzeel!$C$4:$C$103,0)),""))</f>
        <v/>
      </c>
      <c r="I71" s="15">
        <f>IF($A71="",0,IFERROR(INDEX(Scherpenzeel!$I$4:$I$103,MATCH($A71,Scherpenzeel!$C$4:$C$103,0)),0))</f>
        <v>0</v>
      </c>
      <c r="J71" s="24" t="str">
        <f>IF($A71="","",IFERROR(INDEX('4'!$A$4:$A$103,MATCH($A71,'4'!$C$4:$C$103,0)),""))</f>
        <v/>
      </c>
      <c r="K71" s="15">
        <f>IF($A71="",0,IFERROR(INDEX('4'!$I$4:$I$103,MATCH($A71,'4'!$C$4:$C$103,0)),0))</f>
        <v>0</v>
      </c>
      <c r="L71" s="24" t="str">
        <f>IF($A71="","",IFERROR(INDEX('5'!$A$4:$A$103,MATCH($A71,'5'!$C$4:$C$103,0)),""))</f>
        <v/>
      </c>
      <c r="M71" s="15">
        <f>IF($A71="",0,IFERROR(INDEX('5'!$I$4:$I$103,MATCH($A71,'5'!$C$4:$C$103,0)),0))</f>
        <v>0</v>
      </c>
      <c r="N71" s="25">
        <f>IF($A71="","",E71+G71+I71+K71+M71)</f>
        <v>0</v>
      </c>
      <c r="O71" s="26" t="str">
        <f>IF(OR($A71="",N71="",N71=0),"",RANK(N71,$N$4:$N$203,0))</f>
        <v/>
      </c>
      <c r="AA71" t="str">
        <f>Scherpenzeel!C6</f>
        <v>Melvin Drost</v>
      </c>
      <c r="AB71">
        <f>IF(AA71="",0,IF(COUNTIF($AA$1:AA71,AA71)=1,1,0))</f>
        <v>0</v>
      </c>
      <c r="AC71" t="str">
        <f>IF(AB71=1,COUNTIF($AB$1:AB71,1),"")</f>
        <v/>
      </c>
    </row>
    <row r="72" spans="1:29" x14ac:dyDescent="0.25">
      <c r="A72" s="13" t="str">
        <f>IFERROR(INDEX($AA$1:$AA$368,MATCH(69,$AC$1:$AC$368,0)),"")</f>
        <v/>
      </c>
      <c r="B72" s="13" t="str">
        <f>IF($A72="","",IF(IFERROR(INDEX(Barneveld!$E$4:$E$36,MATCH($A72,Barneveld!$C$4:$C$36,0)),"")&lt;&gt;"",IFERROR(INDEX(Barneveld!$E$4:$E$36,MATCH($A72,Barneveld!$C$4:$C$36,0)),""),IF(IFERROR(INDEX(Baarn!$F$4:$F$38,MATCH($A72,Baarn!$C$4:$C$38,0)),"")&lt;&gt;"",IFERROR(INDEX(Baarn!$F$4:$F$38,MATCH($A72,Baarn!$C$4:$C$38,0)),""),IF(IFERROR(INDEX(Scherpenzeel!$F$4:$F$103,MATCH($A72,Scherpenzeel!$C$4:$C$103,0)),"")&lt;&gt;"",IFERROR(INDEX(Scherpenzeel!$F$4:$F$103,MATCH($A72,Scherpenzeel!$C$4:$C$103,0)),""),IF(IFERROR(INDEX('4'!$F$4:$F$103,MATCH($A72,'4'!$C$4:$C$103,0)),"")&lt;&gt;"",IFERROR(INDEX('4'!$F$4:$F$103,MATCH($A72,'4'!$C$4:$C$103,0)),""),IFERROR(INDEX('5'!$F$4:$F$103,MATCH($A72,'5'!$C$4:$C$103,0)),""))))))</f>
        <v/>
      </c>
      <c r="C72" s="13" t="str">
        <f>IF($A72="","",IF(IFERROR(INDEX(Barneveld!$D$4:$D$36,MATCH($A72,Barneveld!$C$4:$C$36,0)),"")&lt;&gt;"",IFERROR(INDEX(Barneveld!$D$4:$D$36,MATCH($A72,Barneveld!$C$4:$C$36,0)),""),IF(IFERROR(INDEX(Baarn!$E$4:$E$38,MATCH($A72,Baarn!$C$4:$C$38,0)),"")&lt;&gt;"",IFERROR(INDEX(Baarn!$E$4:$E$38,MATCH($A72,Baarn!$C$4:$C$38,0)),""),IF(IFERROR(INDEX(Scherpenzeel!$E$4:$E$103,MATCH($A72,Scherpenzeel!$C$4:$C$103,0)),"")&lt;&gt;"",IFERROR(INDEX(Scherpenzeel!$E$4:$E$103,MATCH($A72,Scherpenzeel!$C$4:$C$103,0)),""),IF(IFERROR(INDEX('4'!$E$4:$E$103,MATCH($A72,'4'!$C$4:$C$103,0)),"")&lt;&gt;"",IFERROR(INDEX('4'!$E$4:$E$103,MATCH($A72,'4'!$C$4:$C$103,0)),""),IFERROR(INDEX('5'!$E$4:$E$103,MATCH($A72,'5'!$C$4:$C$103,0)),""))))))</f>
        <v/>
      </c>
      <c r="D72" s="24" t="str">
        <f>IF($A72="","",IFERROR(INDEX(Barneveld!$A$4:$A$36,MATCH($A72,Barneveld!$C$4:$C$36,0)),""))</f>
        <v/>
      </c>
      <c r="E72" s="15">
        <f>IF($A72="",0,IFERROR(INDEX(Barneveld!$H$4:$H$36,MATCH($A72,Barneveld!$C$4:$C$36,0)),0))</f>
        <v>0</v>
      </c>
      <c r="F72" s="24" t="str">
        <f>IF($A72="","",IFERROR(INDEX(Baarn!$A$4:$A$38,MATCH($A72,Baarn!$C$4:$C$38,0)),""))</f>
        <v/>
      </c>
      <c r="G72" s="15">
        <f>IF($A72="",0,IFERROR(INDEX(Baarn!$I$4:$I$38,MATCH($A72,Baarn!$C$4:$C$38,0)),0))</f>
        <v>0</v>
      </c>
      <c r="H72" s="24" t="str">
        <f>IF($A72="","",IFERROR(INDEX(Scherpenzeel!$A$4:$A$103,MATCH($A72,Scherpenzeel!$C$4:$C$103,0)),""))</f>
        <v/>
      </c>
      <c r="I72" s="15">
        <f>IF($A72="",0,IFERROR(INDEX(Scherpenzeel!$I$4:$I$103,MATCH($A72,Scherpenzeel!$C$4:$C$103,0)),0))</f>
        <v>0</v>
      </c>
      <c r="J72" s="24" t="str">
        <f>IF($A72="","",IFERROR(INDEX('4'!$A$4:$A$103,MATCH($A72,'4'!$C$4:$C$103,0)),""))</f>
        <v/>
      </c>
      <c r="K72" s="15">
        <f>IF($A72="",0,IFERROR(INDEX('4'!$I$4:$I$103,MATCH($A72,'4'!$C$4:$C$103,0)),0))</f>
        <v>0</v>
      </c>
      <c r="L72" s="24" t="str">
        <f>IF($A72="","",IFERROR(INDEX('5'!$A$4:$A$103,MATCH($A72,'5'!$C$4:$C$103,0)),""))</f>
        <v/>
      </c>
      <c r="M72" s="15">
        <f>IF($A72="",0,IFERROR(INDEX('5'!$I$4:$I$103,MATCH($A72,'5'!$C$4:$C$103,0)),0))</f>
        <v>0</v>
      </c>
      <c r="N72" s="25" t="str">
        <f>IF($A72="","",E72+G72+I72+K72+M72)</f>
        <v/>
      </c>
      <c r="O72" s="26" t="str">
        <f>IF(OR($A72="",N72="",N72=0),"",RANK(N72,$N$4:$N$203,0))</f>
        <v/>
      </c>
      <c r="AA72" t="str">
        <f>Scherpenzeel!C7</f>
        <v>Koen Vinke</v>
      </c>
      <c r="AB72">
        <f>IF(AA72="",0,IF(COUNTIF($AA$1:AA72,AA72)=1,1,0))</f>
        <v>1</v>
      </c>
      <c r="AC72">
        <f>IF(AB72=1,COUNTIF($AB$1:AB72,1),"")</f>
        <v>49</v>
      </c>
    </row>
    <row r="73" spans="1:29" x14ac:dyDescent="0.25">
      <c r="A73" s="13" t="str">
        <f>IFERROR(INDEX($AA$1:$AA$368,MATCH(70,$AC$1:$AC$368,0)),"")</f>
        <v/>
      </c>
      <c r="B73" s="13" t="str">
        <f>IF($A73="","",IF(IFERROR(INDEX(Barneveld!$E$4:$E$36,MATCH($A73,Barneveld!$C$4:$C$36,0)),"")&lt;&gt;"",IFERROR(INDEX(Barneveld!$E$4:$E$36,MATCH($A73,Barneveld!$C$4:$C$36,0)),""),IF(IFERROR(INDEX(Baarn!$F$4:$F$38,MATCH($A73,Baarn!$C$4:$C$38,0)),"")&lt;&gt;"",IFERROR(INDEX(Baarn!$F$4:$F$38,MATCH($A73,Baarn!$C$4:$C$38,0)),""),IF(IFERROR(INDEX(Scherpenzeel!$F$4:$F$103,MATCH($A73,Scherpenzeel!$C$4:$C$103,0)),"")&lt;&gt;"",IFERROR(INDEX(Scherpenzeel!$F$4:$F$103,MATCH($A73,Scherpenzeel!$C$4:$C$103,0)),""),IF(IFERROR(INDEX('4'!$F$4:$F$103,MATCH($A73,'4'!$C$4:$C$103,0)),"")&lt;&gt;"",IFERROR(INDEX('4'!$F$4:$F$103,MATCH($A73,'4'!$C$4:$C$103,0)),""),IFERROR(INDEX('5'!$F$4:$F$103,MATCH($A73,'5'!$C$4:$C$103,0)),""))))))</f>
        <v/>
      </c>
      <c r="C73" s="13" t="str">
        <f>IF($A73="","",IF(IFERROR(INDEX(Barneveld!$D$4:$D$36,MATCH($A73,Barneveld!$C$4:$C$36,0)),"")&lt;&gt;"",IFERROR(INDEX(Barneveld!$D$4:$D$36,MATCH($A73,Barneveld!$C$4:$C$36,0)),""),IF(IFERROR(INDEX(Baarn!$E$4:$E$38,MATCH($A73,Baarn!$C$4:$C$38,0)),"")&lt;&gt;"",IFERROR(INDEX(Baarn!$E$4:$E$38,MATCH($A73,Baarn!$C$4:$C$38,0)),""),IF(IFERROR(INDEX(Scherpenzeel!$E$4:$E$103,MATCH($A73,Scherpenzeel!$C$4:$C$103,0)),"")&lt;&gt;"",IFERROR(INDEX(Scherpenzeel!$E$4:$E$103,MATCH($A73,Scherpenzeel!$C$4:$C$103,0)),""),IF(IFERROR(INDEX('4'!$E$4:$E$103,MATCH($A73,'4'!$C$4:$C$103,0)),"")&lt;&gt;"",IFERROR(INDEX('4'!$E$4:$E$103,MATCH($A73,'4'!$C$4:$C$103,0)),""),IFERROR(INDEX('5'!$E$4:$E$103,MATCH($A73,'5'!$C$4:$C$103,0)),""))))))</f>
        <v/>
      </c>
      <c r="D73" s="24" t="str">
        <f>IF($A73="","",IFERROR(INDEX(Barneveld!$A$4:$A$36,MATCH($A73,Barneveld!$C$4:$C$36,0)),""))</f>
        <v/>
      </c>
      <c r="E73" s="15">
        <f>IF($A73="",0,IFERROR(INDEX(Barneveld!$H$4:$H$36,MATCH($A73,Barneveld!$C$4:$C$36,0)),0))</f>
        <v>0</v>
      </c>
      <c r="F73" s="24" t="str">
        <f>IF($A73="","",IFERROR(INDEX(Baarn!$A$4:$A$38,MATCH($A73,Baarn!$C$4:$C$38,0)),""))</f>
        <v/>
      </c>
      <c r="G73" s="15">
        <f>IF($A73="",0,IFERROR(INDEX(Baarn!$I$4:$I$38,MATCH($A73,Baarn!$C$4:$C$38,0)),0))</f>
        <v>0</v>
      </c>
      <c r="H73" s="24" t="str">
        <f>IF($A73="","",IFERROR(INDEX(Scherpenzeel!$A$4:$A$103,MATCH($A73,Scherpenzeel!$C$4:$C$103,0)),""))</f>
        <v/>
      </c>
      <c r="I73" s="15">
        <f>IF($A73="",0,IFERROR(INDEX(Scherpenzeel!$I$4:$I$103,MATCH($A73,Scherpenzeel!$C$4:$C$103,0)),0))</f>
        <v>0</v>
      </c>
      <c r="J73" s="24" t="str">
        <f>IF($A73="","",IFERROR(INDEX('4'!$A$4:$A$103,MATCH($A73,'4'!$C$4:$C$103,0)),""))</f>
        <v/>
      </c>
      <c r="K73" s="15">
        <f>IF($A73="",0,IFERROR(INDEX('4'!$I$4:$I$103,MATCH($A73,'4'!$C$4:$C$103,0)),0))</f>
        <v>0</v>
      </c>
      <c r="L73" s="24" t="str">
        <f>IF($A73="","",IFERROR(INDEX('5'!$A$4:$A$103,MATCH($A73,'5'!$C$4:$C$103,0)),""))</f>
        <v/>
      </c>
      <c r="M73" s="15">
        <f>IF($A73="",0,IFERROR(INDEX('5'!$I$4:$I$103,MATCH($A73,'5'!$C$4:$C$103,0)),0))</f>
        <v>0</v>
      </c>
      <c r="N73" s="25" t="str">
        <f>IF($A73="","",E73+G73+I73+K73+M73)</f>
        <v/>
      </c>
      <c r="O73" s="26" t="str">
        <f>IF(OR($A73="",N73="",N73=0),"",RANK(N73,$N$4:$N$203,0))</f>
        <v/>
      </c>
      <c r="AA73" t="str">
        <f>Scherpenzeel!C8</f>
        <v>Henriko van Veldhuizen</v>
      </c>
      <c r="AB73">
        <f>IF(AA73="",0,IF(COUNTIF($AA$1:AA73,AA73)=1,1,0))</f>
        <v>0</v>
      </c>
      <c r="AC73" t="str">
        <f>IF(AB73=1,COUNTIF($AB$1:AB73,1),"")</f>
        <v/>
      </c>
    </row>
    <row r="74" spans="1:29" x14ac:dyDescent="0.25">
      <c r="A74" s="13" t="str">
        <f>IFERROR(INDEX($AA$1:$AA$368,MATCH(71,$AC$1:$AC$368,0)),"")</f>
        <v/>
      </c>
      <c r="B74" s="13" t="str">
        <f>IF($A74="","",IF(IFERROR(INDEX(Barneveld!$E$4:$E$36,MATCH($A74,Barneveld!$C$4:$C$36,0)),"")&lt;&gt;"",IFERROR(INDEX(Barneveld!$E$4:$E$36,MATCH($A74,Barneveld!$C$4:$C$36,0)),""),IF(IFERROR(INDEX(Baarn!$F$4:$F$38,MATCH($A74,Baarn!$C$4:$C$38,0)),"")&lt;&gt;"",IFERROR(INDEX(Baarn!$F$4:$F$38,MATCH($A74,Baarn!$C$4:$C$38,0)),""),IF(IFERROR(INDEX(Scherpenzeel!$F$4:$F$103,MATCH($A74,Scherpenzeel!$C$4:$C$103,0)),"")&lt;&gt;"",IFERROR(INDEX(Scherpenzeel!$F$4:$F$103,MATCH($A74,Scherpenzeel!$C$4:$C$103,0)),""),IF(IFERROR(INDEX('4'!$F$4:$F$103,MATCH($A74,'4'!$C$4:$C$103,0)),"")&lt;&gt;"",IFERROR(INDEX('4'!$F$4:$F$103,MATCH($A74,'4'!$C$4:$C$103,0)),""),IFERROR(INDEX('5'!$F$4:$F$103,MATCH($A74,'5'!$C$4:$C$103,0)),""))))))</f>
        <v/>
      </c>
      <c r="C74" s="13" t="str">
        <f>IF($A74="","",IF(IFERROR(INDEX(Barneveld!$D$4:$D$36,MATCH($A74,Barneveld!$C$4:$C$36,0)),"")&lt;&gt;"",IFERROR(INDEX(Barneveld!$D$4:$D$36,MATCH($A74,Barneveld!$C$4:$C$36,0)),""),IF(IFERROR(INDEX(Baarn!$E$4:$E$38,MATCH($A74,Baarn!$C$4:$C$38,0)),"")&lt;&gt;"",IFERROR(INDEX(Baarn!$E$4:$E$38,MATCH($A74,Baarn!$C$4:$C$38,0)),""),IF(IFERROR(INDEX(Scherpenzeel!$E$4:$E$103,MATCH($A74,Scherpenzeel!$C$4:$C$103,0)),"")&lt;&gt;"",IFERROR(INDEX(Scherpenzeel!$E$4:$E$103,MATCH($A74,Scherpenzeel!$C$4:$C$103,0)),""),IF(IFERROR(INDEX('4'!$E$4:$E$103,MATCH($A74,'4'!$C$4:$C$103,0)),"")&lt;&gt;"",IFERROR(INDEX('4'!$E$4:$E$103,MATCH($A74,'4'!$C$4:$C$103,0)),""),IFERROR(INDEX('5'!$E$4:$E$103,MATCH($A74,'5'!$C$4:$C$103,0)),""))))))</f>
        <v/>
      </c>
      <c r="D74" s="24" t="str">
        <f>IF($A74="","",IFERROR(INDEX(Barneveld!$A$4:$A$36,MATCH($A74,Barneveld!$C$4:$C$36,0)),""))</f>
        <v/>
      </c>
      <c r="E74" s="15">
        <f>IF($A74="",0,IFERROR(INDEX(Barneveld!$H$4:$H$36,MATCH($A74,Barneveld!$C$4:$C$36,0)),0))</f>
        <v>0</v>
      </c>
      <c r="F74" s="24" t="str">
        <f>IF($A74="","",IFERROR(INDEX(Baarn!$A$4:$A$38,MATCH($A74,Baarn!$C$4:$C$38,0)),""))</f>
        <v/>
      </c>
      <c r="G74" s="15">
        <f>IF($A74="",0,IFERROR(INDEX(Baarn!$I$4:$I$38,MATCH($A74,Baarn!$C$4:$C$38,0)),0))</f>
        <v>0</v>
      </c>
      <c r="H74" s="24" t="str">
        <f>IF($A74="","",IFERROR(INDEX(Scherpenzeel!$A$4:$A$103,MATCH($A74,Scherpenzeel!$C$4:$C$103,0)),""))</f>
        <v/>
      </c>
      <c r="I74" s="15">
        <f>IF($A74="",0,IFERROR(INDEX(Scherpenzeel!$I$4:$I$103,MATCH($A74,Scherpenzeel!$C$4:$C$103,0)),0))</f>
        <v>0</v>
      </c>
      <c r="J74" s="24" t="str">
        <f>IF($A74="","",IFERROR(INDEX('4'!$A$4:$A$103,MATCH($A74,'4'!$C$4:$C$103,0)),""))</f>
        <v/>
      </c>
      <c r="K74" s="15">
        <f>IF($A74="",0,IFERROR(INDEX('4'!$I$4:$I$103,MATCH($A74,'4'!$C$4:$C$103,0)),0))</f>
        <v>0</v>
      </c>
      <c r="L74" s="24" t="str">
        <f>IF($A74="","",IFERROR(INDEX('5'!$A$4:$A$103,MATCH($A74,'5'!$C$4:$C$103,0)),""))</f>
        <v/>
      </c>
      <c r="M74" s="15">
        <f>IF($A74="",0,IFERROR(INDEX('5'!$I$4:$I$103,MATCH($A74,'5'!$C$4:$C$103,0)),0))</f>
        <v>0</v>
      </c>
      <c r="N74" s="25" t="str">
        <f>IF($A74="","",E74+G74+I74+K74+M74)</f>
        <v/>
      </c>
      <c r="O74" s="26" t="str">
        <f>IF(OR($A74="",N74="",N74=0),"",RANK(N74,$N$4:$N$203,0))</f>
        <v/>
      </c>
      <c r="AA74" t="str">
        <f>Scherpenzeel!C9</f>
        <v>Daan Switters</v>
      </c>
      <c r="AB74">
        <f>IF(AA74="",0,IF(COUNTIF($AA$1:AA74,AA74)=1,1,0))</f>
        <v>0</v>
      </c>
      <c r="AC74" t="str">
        <f>IF(AB74=1,COUNTIF($AB$1:AB74,1),"")</f>
        <v/>
      </c>
    </row>
    <row r="75" spans="1:29" x14ac:dyDescent="0.25">
      <c r="A75" s="13" t="str">
        <f>IFERROR(INDEX($AA$1:$AA$368,MATCH(72,$AC$1:$AC$368,0)),"")</f>
        <v/>
      </c>
      <c r="B75" s="13" t="str">
        <f>IF($A75="","",IF(IFERROR(INDEX(Barneveld!$E$4:$E$36,MATCH($A75,Barneveld!$C$4:$C$36,0)),"")&lt;&gt;"",IFERROR(INDEX(Barneveld!$E$4:$E$36,MATCH($A75,Barneveld!$C$4:$C$36,0)),""),IF(IFERROR(INDEX(Baarn!$F$4:$F$38,MATCH($A75,Baarn!$C$4:$C$38,0)),"")&lt;&gt;"",IFERROR(INDEX(Baarn!$F$4:$F$38,MATCH($A75,Baarn!$C$4:$C$38,0)),""),IF(IFERROR(INDEX(Scherpenzeel!$F$4:$F$103,MATCH($A75,Scherpenzeel!$C$4:$C$103,0)),"")&lt;&gt;"",IFERROR(INDEX(Scherpenzeel!$F$4:$F$103,MATCH($A75,Scherpenzeel!$C$4:$C$103,0)),""),IF(IFERROR(INDEX('4'!$F$4:$F$103,MATCH($A75,'4'!$C$4:$C$103,0)),"")&lt;&gt;"",IFERROR(INDEX('4'!$F$4:$F$103,MATCH($A75,'4'!$C$4:$C$103,0)),""),IFERROR(INDEX('5'!$F$4:$F$103,MATCH($A75,'5'!$C$4:$C$103,0)),""))))))</f>
        <v/>
      </c>
      <c r="C75" s="13" t="str">
        <f>IF($A75="","",IF(IFERROR(INDEX(Barneveld!$D$4:$D$36,MATCH($A75,Barneveld!$C$4:$C$36,0)),"")&lt;&gt;"",IFERROR(INDEX(Barneveld!$D$4:$D$36,MATCH($A75,Barneveld!$C$4:$C$36,0)),""),IF(IFERROR(INDEX(Baarn!$E$4:$E$38,MATCH($A75,Baarn!$C$4:$C$38,0)),"")&lt;&gt;"",IFERROR(INDEX(Baarn!$E$4:$E$38,MATCH($A75,Baarn!$C$4:$C$38,0)),""),IF(IFERROR(INDEX(Scherpenzeel!$E$4:$E$103,MATCH($A75,Scherpenzeel!$C$4:$C$103,0)),"")&lt;&gt;"",IFERROR(INDEX(Scherpenzeel!$E$4:$E$103,MATCH($A75,Scherpenzeel!$C$4:$C$103,0)),""),IF(IFERROR(INDEX('4'!$E$4:$E$103,MATCH($A75,'4'!$C$4:$C$103,0)),"")&lt;&gt;"",IFERROR(INDEX('4'!$E$4:$E$103,MATCH($A75,'4'!$C$4:$C$103,0)),""),IFERROR(INDEX('5'!$E$4:$E$103,MATCH($A75,'5'!$C$4:$C$103,0)),""))))))</f>
        <v/>
      </c>
      <c r="D75" s="24" t="str">
        <f>IF($A75="","",IFERROR(INDEX(Barneveld!$A$4:$A$36,MATCH($A75,Barneveld!$C$4:$C$36,0)),""))</f>
        <v/>
      </c>
      <c r="E75" s="15">
        <f>IF($A75="",0,IFERROR(INDEX(Barneveld!$H$4:$H$36,MATCH($A75,Barneveld!$C$4:$C$36,0)),0))</f>
        <v>0</v>
      </c>
      <c r="F75" s="24" t="str">
        <f>IF($A75="","",IFERROR(INDEX(Baarn!$A$4:$A$38,MATCH($A75,Baarn!$C$4:$C$38,0)),""))</f>
        <v/>
      </c>
      <c r="G75" s="15">
        <f>IF($A75="",0,IFERROR(INDEX(Baarn!$I$4:$I$38,MATCH($A75,Baarn!$C$4:$C$38,0)),0))</f>
        <v>0</v>
      </c>
      <c r="H75" s="24" t="str">
        <f>IF($A75="","",IFERROR(INDEX(Scherpenzeel!$A$4:$A$103,MATCH($A75,Scherpenzeel!$C$4:$C$103,0)),""))</f>
        <v/>
      </c>
      <c r="I75" s="15">
        <f>IF($A75="",0,IFERROR(INDEX(Scherpenzeel!$I$4:$I$103,MATCH($A75,Scherpenzeel!$C$4:$C$103,0)),0))</f>
        <v>0</v>
      </c>
      <c r="J75" s="24" t="str">
        <f>IF($A75="","",IFERROR(INDEX('4'!$A$4:$A$103,MATCH($A75,'4'!$C$4:$C$103,0)),""))</f>
        <v/>
      </c>
      <c r="K75" s="15">
        <f>IF($A75="",0,IFERROR(INDEX('4'!$I$4:$I$103,MATCH($A75,'4'!$C$4:$C$103,0)),0))</f>
        <v>0</v>
      </c>
      <c r="L75" s="24" t="str">
        <f>IF($A75="","",IFERROR(INDEX('5'!$A$4:$A$103,MATCH($A75,'5'!$C$4:$C$103,0)),""))</f>
        <v/>
      </c>
      <c r="M75" s="15">
        <f>IF($A75="",0,IFERROR(INDEX('5'!$I$4:$I$103,MATCH($A75,'5'!$C$4:$C$103,0)),0))</f>
        <v>0</v>
      </c>
      <c r="N75" s="25" t="str">
        <f>IF($A75="","",E75+G75+I75+K75+M75)</f>
        <v/>
      </c>
      <c r="O75" s="26" t="str">
        <f>IF(OR($A75="",N75="",N75=0),"",RANK(N75,$N$4:$N$203,0))</f>
        <v/>
      </c>
      <c r="AA75" t="str">
        <f>Scherpenzeel!C10</f>
        <v>Patrick van Veldhuizen</v>
      </c>
      <c r="AB75">
        <f>IF(AA75="",0,IF(COUNTIF($AA$1:AA75,AA75)=1,1,0))</f>
        <v>0</v>
      </c>
      <c r="AC75" t="str">
        <f>IF(AB75=1,COUNTIF($AB$1:AB75,1),"")</f>
        <v/>
      </c>
    </row>
    <row r="76" spans="1:29" x14ac:dyDescent="0.25">
      <c r="A76" s="13" t="str">
        <f>IFERROR(INDEX($AA$1:$AA$368,MATCH(73,$AC$1:$AC$368,0)),"")</f>
        <v/>
      </c>
      <c r="B76" s="13" t="str">
        <f>IF($A76="","",IF(IFERROR(INDEX(Barneveld!$E$4:$E$36,MATCH($A76,Barneveld!$C$4:$C$36,0)),"")&lt;&gt;"",IFERROR(INDEX(Barneveld!$E$4:$E$36,MATCH($A76,Barneveld!$C$4:$C$36,0)),""),IF(IFERROR(INDEX(Baarn!$F$4:$F$38,MATCH($A76,Baarn!$C$4:$C$38,0)),"")&lt;&gt;"",IFERROR(INDEX(Baarn!$F$4:$F$38,MATCH($A76,Baarn!$C$4:$C$38,0)),""),IF(IFERROR(INDEX(Scherpenzeel!$F$4:$F$103,MATCH($A76,Scherpenzeel!$C$4:$C$103,0)),"")&lt;&gt;"",IFERROR(INDEX(Scherpenzeel!$F$4:$F$103,MATCH($A76,Scherpenzeel!$C$4:$C$103,0)),""),IF(IFERROR(INDEX('4'!$F$4:$F$103,MATCH($A76,'4'!$C$4:$C$103,0)),"")&lt;&gt;"",IFERROR(INDEX('4'!$F$4:$F$103,MATCH($A76,'4'!$C$4:$C$103,0)),""),IFERROR(INDEX('5'!$F$4:$F$103,MATCH($A76,'5'!$C$4:$C$103,0)),""))))))</f>
        <v/>
      </c>
      <c r="C76" s="13" t="str">
        <f>IF($A76="","",IF(IFERROR(INDEX(Barneveld!$D$4:$D$36,MATCH($A76,Barneveld!$C$4:$C$36,0)),"")&lt;&gt;"",IFERROR(INDEX(Barneveld!$D$4:$D$36,MATCH($A76,Barneveld!$C$4:$C$36,0)),""),IF(IFERROR(INDEX(Baarn!$E$4:$E$38,MATCH($A76,Baarn!$C$4:$C$38,0)),"")&lt;&gt;"",IFERROR(INDEX(Baarn!$E$4:$E$38,MATCH($A76,Baarn!$C$4:$C$38,0)),""),IF(IFERROR(INDEX(Scherpenzeel!$E$4:$E$103,MATCH($A76,Scherpenzeel!$C$4:$C$103,0)),"")&lt;&gt;"",IFERROR(INDEX(Scherpenzeel!$E$4:$E$103,MATCH($A76,Scherpenzeel!$C$4:$C$103,0)),""),IF(IFERROR(INDEX('4'!$E$4:$E$103,MATCH($A76,'4'!$C$4:$C$103,0)),"")&lt;&gt;"",IFERROR(INDEX('4'!$E$4:$E$103,MATCH($A76,'4'!$C$4:$C$103,0)),""),IFERROR(INDEX('5'!$E$4:$E$103,MATCH($A76,'5'!$C$4:$C$103,0)),""))))))</f>
        <v/>
      </c>
      <c r="D76" s="24" t="str">
        <f>IF($A76="","",IFERROR(INDEX(Barneveld!$A$4:$A$36,MATCH($A76,Barneveld!$C$4:$C$36,0)),""))</f>
        <v/>
      </c>
      <c r="E76" s="15">
        <f>IF($A76="",0,IFERROR(INDEX(Barneveld!$H$4:$H$36,MATCH($A76,Barneveld!$C$4:$C$36,0)),0))</f>
        <v>0</v>
      </c>
      <c r="F76" s="24" t="str">
        <f>IF($A76="","",IFERROR(INDEX(Baarn!$A$4:$A$38,MATCH($A76,Baarn!$C$4:$C$38,0)),""))</f>
        <v/>
      </c>
      <c r="G76" s="15">
        <f>IF($A76="",0,IFERROR(INDEX(Baarn!$I$4:$I$38,MATCH($A76,Baarn!$C$4:$C$38,0)),0))</f>
        <v>0</v>
      </c>
      <c r="H76" s="24" t="str">
        <f>IF($A76="","",IFERROR(INDEX(Scherpenzeel!$A$4:$A$103,MATCH($A76,Scherpenzeel!$C$4:$C$103,0)),""))</f>
        <v/>
      </c>
      <c r="I76" s="15">
        <f>IF($A76="",0,IFERROR(INDEX(Scherpenzeel!$I$4:$I$103,MATCH($A76,Scherpenzeel!$C$4:$C$103,0)),0))</f>
        <v>0</v>
      </c>
      <c r="J76" s="24" t="str">
        <f>IF($A76="","",IFERROR(INDEX('4'!$A$4:$A$103,MATCH($A76,'4'!$C$4:$C$103,0)),""))</f>
        <v/>
      </c>
      <c r="K76" s="15">
        <f>IF($A76="",0,IFERROR(INDEX('4'!$I$4:$I$103,MATCH($A76,'4'!$C$4:$C$103,0)),0))</f>
        <v>0</v>
      </c>
      <c r="L76" s="24" t="str">
        <f>IF($A76="","",IFERROR(INDEX('5'!$A$4:$A$103,MATCH($A76,'5'!$C$4:$C$103,0)),""))</f>
        <v/>
      </c>
      <c r="M76" s="15">
        <f>IF($A76="",0,IFERROR(INDEX('5'!$I$4:$I$103,MATCH($A76,'5'!$C$4:$C$103,0)),0))</f>
        <v>0</v>
      </c>
      <c r="N76" s="25" t="str">
        <f>IF($A76="","",E76+G76+I76+K76+M76)</f>
        <v/>
      </c>
      <c r="O76" s="26" t="str">
        <f>IF(OR($A76="",N76="",N76=0),"",RANK(N76,$N$4:$N$203,0))</f>
        <v/>
      </c>
      <c r="AA76" t="str">
        <f>Scherpenzeel!C11</f>
        <v>Roel de Vries</v>
      </c>
      <c r="AB76">
        <f>IF(AA76="",0,IF(COUNTIF($AA$1:AA76,AA76)=1,1,0))</f>
        <v>0</v>
      </c>
      <c r="AC76" t="str">
        <f>IF(AB76=1,COUNTIF($AB$1:AB76,1),"")</f>
        <v/>
      </c>
    </row>
    <row r="77" spans="1:29" x14ac:dyDescent="0.25">
      <c r="A77" s="13" t="str">
        <f>IFERROR(INDEX($AA$1:$AA$368,MATCH(74,$AC$1:$AC$368,0)),"")</f>
        <v/>
      </c>
      <c r="B77" s="13" t="str">
        <f>IF($A77="","",IF(IFERROR(INDEX(Barneveld!$E$4:$E$36,MATCH($A77,Barneveld!$C$4:$C$36,0)),"")&lt;&gt;"",IFERROR(INDEX(Barneveld!$E$4:$E$36,MATCH($A77,Barneveld!$C$4:$C$36,0)),""),IF(IFERROR(INDEX(Baarn!$F$4:$F$38,MATCH($A77,Baarn!$C$4:$C$38,0)),"")&lt;&gt;"",IFERROR(INDEX(Baarn!$F$4:$F$38,MATCH($A77,Baarn!$C$4:$C$38,0)),""),IF(IFERROR(INDEX(Scherpenzeel!$F$4:$F$103,MATCH($A77,Scherpenzeel!$C$4:$C$103,0)),"")&lt;&gt;"",IFERROR(INDEX(Scherpenzeel!$F$4:$F$103,MATCH($A77,Scherpenzeel!$C$4:$C$103,0)),""),IF(IFERROR(INDEX('4'!$F$4:$F$103,MATCH($A77,'4'!$C$4:$C$103,0)),"")&lt;&gt;"",IFERROR(INDEX('4'!$F$4:$F$103,MATCH($A77,'4'!$C$4:$C$103,0)),""),IFERROR(INDEX('5'!$F$4:$F$103,MATCH($A77,'5'!$C$4:$C$103,0)),""))))))</f>
        <v/>
      </c>
      <c r="C77" s="13" t="str">
        <f>IF($A77="","",IF(IFERROR(INDEX(Barneveld!$D$4:$D$36,MATCH($A77,Barneveld!$C$4:$C$36,0)),"")&lt;&gt;"",IFERROR(INDEX(Barneveld!$D$4:$D$36,MATCH($A77,Barneveld!$C$4:$C$36,0)),""),IF(IFERROR(INDEX(Baarn!$E$4:$E$38,MATCH($A77,Baarn!$C$4:$C$38,0)),"")&lt;&gt;"",IFERROR(INDEX(Baarn!$E$4:$E$38,MATCH($A77,Baarn!$C$4:$C$38,0)),""),IF(IFERROR(INDEX(Scherpenzeel!$E$4:$E$103,MATCH($A77,Scherpenzeel!$C$4:$C$103,0)),"")&lt;&gt;"",IFERROR(INDEX(Scherpenzeel!$E$4:$E$103,MATCH($A77,Scherpenzeel!$C$4:$C$103,0)),""),IF(IFERROR(INDEX('4'!$E$4:$E$103,MATCH($A77,'4'!$C$4:$C$103,0)),"")&lt;&gt;"",IFERROR(INDEX('4'!$E$4:$E$103,MATCH($A77,'4'!$C$4:$C$103,0)),""),IFERROR(INDEX('5'!$E$4:$E$103,MATCH($A77,'5'!$C$4:$C$103,0)),""))))))</f>
        <v/>
      </c>
      <c r="D77" s="24" t="str">
        <f>IF($A77="","",IFERROR(INDEX(Barneveld!$A$4:$A$36,MATCH($A77,Barneveld!$C$4:$C$36,0)),""))</f>
        <v/>
      </c>
      <c r="E77" s="15">
        <f>IF($A77="",0,IFERROR(INDEX(Barneveld!$H$4:$H$36,MATCH($A77,Barneveld!$C$4:$C$36,0)),0))</f>
        <v>0</v>
      </c>
      <c r="F77" s="24" t="str">
        <f>IF($A77="","",IFERROR(INDEX(Baarn!$A$4:$A$38,MATCH($A77,Baarn!$C$4:$C$38,0)),""))</f>
        <v/>
      </c>
      <c r="G77" s="15">
        <f>IF($A77="",0,IFERROR(INDEX(Baarn!$I$4:$I$38,MATCH($A77,Baarn!$C$4:$C$38,0)),0))</f>
        <v>0</v>
      </c>
      <c r="H77" s="24" t="str">
        <f>IF($A77="","",IFERROR(INDEX(Scherpenzeel!$A$4:$A$103,MATCH($A77,Scherpenzeel!$C$4:$C$103,0)),""))</f>
        <v/>
      </c>
      <c r="I77" s="15">
        <f>IF($A77="",0,IFERROR(INDEX(Scherpenzeel!$I$4:$I$103,MATCH($A77,Scherpenzeel!$C$4:$C$103,0)),0))</f>
        <v>0</v>
      </c>
      <c r="J77" s="24" t="str">
        <f>IF($A77="","",IFERROR(INDEX('4'!$A$4:$A$103,MATCH($A77,'4'!$C$4:$C$103,0)),""))</f>
        <v/>
      </c>
      <c r="K77" s="15">
        <f>IF($A77="",0,IFERROR(INDEX('4'!$I$4:$I$103,MATCH($A77,'4'!$C$4:$C$103,0)),0))</f>
        <v>0</v>
      </c>
      <c r="L77" s="24" t="str">
        <f>IF($A77="","",IFERROR(INDEX('5'!$A$4:$A$103,MATCH($A77,'5'!$C$4:$C$103,0)),""))</f>
        <v/>
      </c>
      <c r="M77" s="15">
        <f>IF($A77="",0,IFERROR(INDEX('5'!$I$4:$I$103,MATCH($A77,'5'!$C$4:$C$103,0)),0))</f>
        <v>0</v>
      </c>
      <c r="N77" s="25" t="str">
        <f>IF($A77="","",E77+G77+I77+K77+M77)</f>
        <v/>
      </c>
      <c r="O77" s="26" t="str">
        <f>IF(OR($A77="",N77="",N77=0),"",RANK(N77,$N$4:$N$203,0))</f>
        <v/>
      </c>
      <c r="AA77" t="str">
        <f>Scherpenzeel!C12</f>
        <v>Niels Immerzeel</v>
      </c>
      <c r="AB77">
        <f>IF(AA77="",0,IF(COUNTIF($AA$1:AA77,AA77)=1,1,0))</f>
        <v>0</v>
      </c>
      <c r="AC77" t="str">
        <f>IF(AB77=1,COUNTIF($AB$1:AB77,1),"")</f>
        <v/>
      </c>
    </row>
    <row r="78" spans="1:29" x14ac:dyDescent="0.25">
      <c r="A78" s="13" t="str">
        <f>IFERROR(INDEX($AA$1:$AA$368,MATCH(75,$AC$1:$AC$368,0)),"")</f>
        <v/>
      </c>
      <c r="B78" s="13" t="str">
        <f>IF($A78="","",IF(IFERROR(INDEX(Barneveld!$E$4:$E$36,MATCH($A78,Barneveld!$C$4:$C$36,0)),"")&lt;&gt;"",IFERROR(INDEX(Barneveld!$E$4:$E$36,MATCH($A78,Barneveld!$C$4:$C$36,0)),""),IF(IFERROR(INDEX(Baarn!$F$4:$F$38,MATCH($A78,Baarn!$C$4:$C$38,0)),"")&lt;&gt;"",IFERROR(INDEX(Baarn!$F$4:$F$38,MATCH($A78,Baarn!$C$4:$C$38,0)),""),IF(IFERROR(INDEX(Scherpenzeel!$F$4:$F$103,MATCH($A78,Scherpenzeel!$C$4:$C$103,0)),"")&lt;&gt;"",IFERROR(INDEX(Scherpenzeel!$F$4:$F$103,MATCH($A78,Scherpenzeel!$C$4:$C$103,0)),""),IF(IFERROR(INDEX('4'!$F$4:$F$103,MATCH($A78,'4'!$C$4:$C$103,0)),"")&lt;&gt;"",IFERROR(INDEX('4'!$F$4:$F$103,MATCH($A78,'4'!$C$4:$C$103,0)),""),IFERROR(INDEX('5'!$F$4:$F$103,MATCH($A78,'5'!$C$4:$C$103,0)),""))))))</f>
        <v/>
      </c>
      <c r="C78" s="13" t="str">
        <f>IF($A78="","",IF(IFERROR(INDEX(Barneveld!$D$4:$D$36,MATCH($A78,Barneveld!$C$4:$C$36,0)),"")&lt;&gt;"",IFERROR(INDEX(Barneveld!$D$4:$D$36,MATCH($A78,Barneveld!$C$4:$C$36,0)),""),IF(IFERROR(INDEX(Baarn!$E$4:$E$38,MATCH($A78,Baarn!$C$4:$C$38,0)),"")&lt;&gt;"",IFERROR(INDEX(Baarn!$E$4:$E$38,MATCH($A78,Baarn!$C$4:$C$38,0)),""),IF(IFERROR(INDEX(Scherpenzeel!$E$4:$E$103,MATCH($A78,Scherpenzeel!$C$4:$C$103,0)),"")&lt;&gt;"",IFERROR(INDEX(Scherpenzeel!$E$4:$E$103,MATCH($A78,Scherpenzeel!$C$4:$C$103,0)),""),IF(IFERROR(INDEX('4'!$E$4:$E$103,MATCH($A78,'4'!$C$4:$C$103,0)),"")&lt;&gt;"",IFERROR(INDEX('4'!$E$4:$E$103,MATCH($A78,'4'!$C$4:$C$103,0)),""),IFERROR(INDEX('5'!$E$4:$E$103,MATCH($A78,'5'!$C$4:$C$103,0)),""))))))</f>
        <v/>
      </c>
      <c r="D78" s="24" t="str">
        <f>IF($A78="","",IFERROR(INDEX(Barneveld!$A$4:$A$36,MATCH($A78,Barneveld!$C$4:$C$36,0)),""))</f>
        <v/>
      </c>
      <c r="E78" s="15">
        <f>IF($A78="",0,IFERROR(INDEX(Barneveld!$H$4:$H$36,MATCH($A78,Barneveld!$C$4:$C$36,0)),0))</f>
        <v>0</v>
      </c>
      <c r="F78" s="24" t="str">
        <f>IF($A78="","",IFERROR(INDEX(Baarn!$A$4:$A$38,MATCH($A78,Baarn!$C$4:$C$38,0)),""))</f>
        <v/>
      </c>
      <c r="G78" s="15">
        <f>IF($A78="",0,IFERROR(INDEX(Baarn!$I$4:$I$38,MATCH($A78,Baarn!$C$4:$C$38,0)),0))</f>
        <v>0</v>
      </c>
      <c r="H78" s="24" t="str">
        <f>IF($A78="","",IFERROR(INDEX(Scherpenzeel!$A$4:$A$103,MATCH($A78,Scherpenzeel!$C$4:$C$103,0)),""))</f>
        <v/>
      </c>
      <c r="I78" s="15">
        <f>IF($A78="",0,IFERROR(INDEX(Scherpenzeel!$I$4:$I$103,MATCH($A78,Scherpenzeel!$C$4:$C$103,0)),0))</f>
        <v>0</v>
      </c>
      <c r="J78" s="24" t="str">
        <f>IF($A78="","",IFERROR(INDEX('4'!$A$4:$A$103,MATCH($A78,'4'!$C$4:$C$103,0)),""))</f>
        <v/>
      </c>
      <c r="K78" s="15">
        <f>IF($A78="",0,IFERROR(INDEX('4'!$I$4:$I$103,MATCH($A78,'4'!$C$4:$C$103,0)),0))</f>
        <v>0</v>
      </c>
      <c r="L78" s="24" t="str">
        <f>IF($A78="","",IFERROR(INDEX('5'!$A$4:$A$103,MATCH($A78,'5'!$C$4:$C$103,0)),""))</f>
        <v/>
      </c>
      <c r="M78" s="15">
        <f>IF($A78="",0,IFERROR(INDEX('5'!$I$4:$I$103,MATCH($A78,'5'!$C$4:$C$103,0)),0))</f>
        <v>0</v>
      </c>
      <c r="N78" s="25" t="str">
        <f>IF($A78="","",E78+G78+I78+K78+M78)</f>
        <v/>
      </c>
      <c r="O78" s="26" t="str">
        <f>IF(OR($A78="",N78="",N78=0),"",RANK(N78,$N$4:$N$203,0))</f>
        <v/>
      </c>
      <c r="AA78" t="str">
        <f>Scherpenzeel!C13</f>
        <v>Steven Stenekes</v>
      </c>
      <c r="AB78">
        <f>IF(AA78="",0,IF(COUNTIF($AA$1:AA78,AA78)=1,1,0))</f>
        <v>0</v>
      </c>
      <c r="AC78" t="str">
        <f>IF(AB78=1,COUNTIF($AB$1:AB78,1),"")</f>
        <v/>
      </c>
    </row>
    <row r="79" spans="1:29" x14ac:dyDescent="0.25">
      <c r="A79" s="13" t="str">
        <f>IFERROR(INDEX($AA$1:$AA$368,MATCH(76,$AC$1:$AC$368,0)),"")</f>
        <v/>
      </c>
      <c r="B79" s="13" t="str">
        <f>IF($A79="","",IF(IFERROR(INDEX(Barneveld!$E$4:$E$36,MATCH($A79,Barneveld!$C$4:$C$36,0)),"")&lt;&gt;"",IFERROR(INDEX(Barneveld!$E$4:$E$36,MATCH($A79,Barneveld!$C$4:$C$36,0)),""),IF(IFERROR(INDEX(Baarn!$F$4:$F$38,MATCH($A79,Baarn!$C$4:$C$38,0)),"")&lt;&gt;"",IFERROR(INDEX(Baarn!$F$4:$F$38,MATCH($A79,Baarn!$C$4:$C$38,0)),""),IF(IFERROR(INDEX(Scherpenzeel!$F$4:$F$103,MATCH($A79,Scherpenzeel!$C$4:$C$103,0)),"")&lt;&gt;"",IFERROR(INDEX(Scherpenzeel!$F$4:$F$103,MATCH($A79,Scherpenzeel!$C$4:$C$103,0)),""),IF(IFERROR(INDEX('4'!$F$4:$F$103,MATCH($A79,'4'!$C$4:$C$103,0)),"")&lt;&gt;"",IFERROR(INDEX('4'!$F$4:$F$103,MATCH($A79,'4'!$C$4:$C$103,0)),""),IFERROR(INDEX('5'!$F$4:$F$103,MATCH($A79,'5'!$C$4:$C$103,0)),""))))))</f>
        <v/>
      </c>
      <c r="C79" s="13" t="str">
        <f>IF($A79="","",IF(IFERROR(INDEX(Barneveld!$D$4:$D$36,MATCH($A79,Barneveld!$C$4:$C$36,0)),"")&lt;&gt;"",IFERROR(INDEX(Barneveld!$D$4:$D$36,MATCH($A79,Barneveld!$C$4:$C$36,0)),""),IF(IFERROR(INDEX(Baarn!$E$4:$E$38,MATCH($A79,Baarn!$C$4:$C$38,0)),"")&lt;&gt;"",IFERROR(INDEX(Baarn!$E$4:$E$38,MATCH($A79,Baarn!$C$4:$C$38,0)),""),IF(IFERROR(INDEX(Scherpenzeel!$E$4:$E$103,MATCH($A79,Scherpenzeel!$C$4:$C$103,0)),"")&lt;&gt;"",IFERROR(INDEX(Scherpenzeel!$E$4:$E$103,MATCH($A79,Scherpenzeel!$C$4:$C$103,0)),""),IF(IFERROR(INDEX('4'!$E$4:$E$103,MATCH($A79,'4'!$C$4:$C$103,0)),"")&lt;&gt;"",IFERROR(INDEX('4'!$E$4:$E$103,MATCH($A79,'4'!$C$4:$C$103,0)),""),IFERROR(INDEX('5'!$E$4:$E$103,MATCH($A79,'5'!$C$4:$C$103,0)),""))))))</f>
        <v/>
      </c>
      <c r="D79" s="24" t="str">
        <f>IF($A79="","",IFERROR(INDEX(Barneveld!$A$4:$A$36,MATCH($A79,Barneveld!$C$4:$C$36,0)),""))</f>
        <v/>
      </c>
      <c r="E79" s="15">
        <f>IF($A79="",0,IFERROR(INDEX(Barneveld!$H$4:$H$36,MATCH($A79,Barneveld!$C$4:$C$36,0)),0))</f>
        <v>0</v>
      </c>
      <c r="F79" s="24" t="str">
        <f>IF($A79="","",IFERROR(INDEX(Baarn!$A$4:$A$38,MATCH($A79,Baarn!$C$4:$C$38,0)),""))</f>
        <v/>
      </c>
      <c r="G79" s="15">
        <f>IF($A79="",0,IFERROR(INDEX(Baarn!$I$4:$I$38,MATCH($A79,Baarn!$C$4:$C$38,0)),0))</f>
        <v>0</v>
      </c>
      <c r="H79" s="24" t="str">
        <f>IF($A79="","",IFERROR(INDEX(Scherpenzeel!$A$4:$A$103,MATCH($A79,Scherpenzeel!$C$4:$C$103,0)),""))</f>
        <v/>
      </c>
      <c r="I79" s="15">
        <f>IF($A79="",0,IFERROR(INDEX(Scherpenzeel!$I$4:$I$103,MATCH($A79,Scherpenzeel!$C$4:$C$103,0)),0))</f>
        <v>0</v>
      </c>
      <c r="J79" s="24" t="str">
        <f>IF($A79="","",IFERROR(INDEX('4'!$A$4:$A$103,MATCH($A79,'4'!$C$4:$C$103,0)),""))</f>
        <v/>
      </c>
      <c r="K79" s="15">
        <f>IF($A79="",0,IFERROR(INDEX('4'!$I$4:$I$103,MATCH($A79,'4'!$C$4:$C$103,0)),0))</f>
        <v>0</v>
      </c>
      <c r="L79" s="24" t="str">
        <f>IF($A79="","",IFERROR(INDEX('5'!$A$4:$A$103,MATCH($A79,'5'!$C$4:$C$103,0)),""))</f>
        <v/>
      </c>
      <c r="M79" s="15">
        <f>IF($A79="",0,IFERROR(INDEX('5'!$I$4:$I$103,MATCH($A79,'5'!$C$4:$C$103,0)),0))</f>
        <v>0</v>
      </c>
      <c r="N79" s="25" t="str">
        <f>IF($A79="","",E79+G79+I79+K79+M79)</f>
        <v/>
      </c>
      <c r="O79" s="26" t="str">
        <f>IF(OR($A79="",N79="",N79=0),"",RANK(N79,$N$4:$N$203,0))</f>
        <v/>
      </c>
      <c r="AA79" t="str">
        <f>Scherpenzeel!C14</f>
        <v>Ties Veldkamp</v>
      </c>
      <c r="AB79">
        <f>IF(AA79="",0,IF(COUNTIF($AA$1:AA79,AA79)=1,1,0))</f>
        <v>0</v>
      </c>
      <c r="AC79" t="str">
        <f>IF(AB79=1,COUNTIF($AB$1:AB79,1),"")</f>
        <v/>
      </c>
    </row>
    <row r="80" spans="1:29" x14ac:dyDescent="0.25">
      <c r="A80" s="13" t="str">
        <f>IFERROR(INDEX($AA$1:$AA$368,MATCH(77,$AC$1:$AC$368,0)),"")</f>
        <v/>
      </c>
      <c r="B80" s="13" t="str">
        <f>IF($A80="","",IF(IFERROR(INDEX(Barneveld!$E$4:$E$36,MATCH($A80,Barneveld!$C$4:$C$36,0)),"")&lt;&gt;"",IFERROR(INDEX(Barneveld!$E$4:$E$36,MATCH($A80,Barneveld!$C$4:$C$36,0)),""),IF(IFERROR(INDEX(Baarn!$F$4:$F$38,MATCH($A80,Baarn!$C$4:$C$38,0)),"")&lt;&gt;"",IFERROR(INDEX(Baarn!$F$4:$F$38,MATCH($A80,Baarn!$C$4:$C$38,0)),""),IF(IFERROR(INDEX(Scherpenzeel!$F$4:$F$103,MATCH($A80,Scherpenzeel!$C$4:$C$103,0)),"")&lt;&gt;"",IFERROR(INDEX(Scherpenzeel!$F$4:$F$103,MATCH($A80,Scherpenzeel!$C$4:$C$103,0)),""),IF(IFERROR(INDEX('4'!$F$4:$F$103,MATCH($A80,'4'!$C$4:$C$103,0)),"")&lt;&gt;"",IFERROR(INDEX('4'!$F$4:$F$103,MATCH($A80,'4'!$C$4:$C$103,0)),""),IFERROR(INDEX('5'!$F$4:$F$103,MATCH($A80,'5'!$C$4:$C$103,0)),""))))))</f>
        <v/>
      </c>
      <c r="C80" s="13" t="str">
        <f>IF($A80="","",IF(IFERROR(INDEX(Barneveld!$D$4:$D$36,MATCH($A80,Barneveld!$C$4:$C$36,0)),"")&lt;&gt;"",IFERROR(INDEX(Barneveld!$D$4:$D$36,MATCH($A80,Barneveld!$C$4:$C$36,0)),""),IF(IFERROR(INDEX(Baarn!$E$4:$E$38,MATCH($A80,Baarn!$C$4:$C$38,0)),"")&lt;&gt;"",IFERROR(INDEX(Baarn!$E$4:$E$38,MATCH($A80,Baarn!$C$4:$C$38,0)),""),IF(IFERROR(INDEX(Scherpenzeel!$E$4:$E$103,MATCH($A80,Scherpenzeel!$C$4:$C$103,0)),"")&lt;&gt;"",IFERROR(INDEX(Scherpenzeel!$E$4:$E$103,MATCH($A80,Scherpenzeel!$C$4:$C$103,0)),""),IF(IFERROR(INDEX('4'!$E$4:$E$103,MATCH($A80,'4'!$C$4:$C$103,0)),"")&lt;&gt;"",IFERROR(INDEX('4'!$E$4:$E$103,MATCH($A80,'4'!$C$4:$C$103,0)),""),IFERROR(INDEX('5'!$E$4:$E$103,MATCH($A80,'5'!$C$4:$C$103,0)),""))))))</f>
        <v/>
      </c>
      <c r="D80" s="24" t="str">
        <f>IF($A80="","",IFERROR(INDEX(Barneveld!$A$4:$A$36,MATCH($A80,Barneveld!$C$4:$C$36,0)),""))</f>
        <v/>
      </c>
      <c r="E80" s="15">
        <f>IF($A80="",0,IFERROR(INDEX(Barneveld!$H$4:$H$36,MATCH($A80,Barneveld!$C$4:$C$36,0)),0))</f>
        <v>0</v>
      </c>
      <c r="F80" s="24" t="str">
        <f>IF($A80="","",IFERROR(INDEX(Baarn!$A$4:$A$38,MATCH($A80,Baarn!$C$4:$C$38,0)),""))</f>
        <v/>
      </c>
      <c r="G80" s="15">
        <f>IF($A80="",0,IFERROR(INDEX(Baarn!$I$4:$I$38,MATCH($A80,Baarn!$C$4:$C$38,0)),0))</f>
        <v>0</v>
      </c>
      <c r="H80" s="24" t="str">
        <f>IF($A80="","",IFERROR(INDEX(Scherpenzeel!$A$4:$A$103,MATCH($A80,Scherpenzeel!$C$4:$C$103,0)),""))</f>
        <v/>
      </c>
      <c r="I80" s="15">
        <f>IF($A80="",0,IFERROR(INDEX(Scherpenzeel!$I$4:$I$103,MATCH($A80,Scherpenzeel!$C$4:$C$103,0)),0))</f>
        <v>0</v>
      </c>
      <c r="J80" s="24" t="str">
        <f>IF($A80="","",IFERROR(INDEX('4'!$A$4:$A$103,MATCH($A80,'4'!$C$4:$C$103,0)),""))</f>
        <v/>
      </c>
      <c r="K80" s="15">
        <f>IF($A80="",0,IFERROR(INDEX('4'!$I$4:$I$103,MATCH($A80,'4'!$C$4:$C$103,0)),0))</f>
        <v>0</v>
      </c>
      <c r="L80" s="24" t="str">
        <f>IF($A80="","",IFERROR(INDEX('5'!$A$4:$A$103,MATCH($A80,'5'!$C$4:$C$103,0)),""))</f>
        <v/>
      </c>
      <c r="M80" s="15">
        <f>IF($A80="",0,IFERROR(INDEX('5'!$I$4:$I$103,MATCH($A80,'5'!$C$4:$C$103,0)),0))</f>
        <v>0</v>
      </c>
      <c r="N80" s="25" t="str">
        <f>IF($A80="","",E80+G80+I80+K80+M80)</f>
        <v/>
      </c>
      <c r="O80" s="26" t="str">
        <f>IF(OR($A80="",N80="",N80=0),"",RANK(N80,$N$4:$N$203,0))</f>
        <v/>
      </c>
      <c r="AA80" t="str">
        <f>Scherpenzeel!C15</f>
        <v>Laurens Dijkstra</v>
      </c>
      <c r="AB80">
        <f>IF(AA80="",0,IF(COUNTIF($AA$1:AA80,AA80)=1,1,0))</f>
        <v>1</v>
      </c>
      <c r="AC80">
        <f>IF(AB80=1,COUNTIF($AB$1:AB80,1),"")</f>
        <v>50</v>
      </c>
    </row>
    <row r="81" spans="1:29" x14ac:dyDescent="0.25">
      <c r="A81" s="13" t="str">
        <f>IFERROR(INDEX($AA$1:$AA$368,MATCH(78,$AC$1:$AC$368,0)),"")</f>
        <v/>
      </c>
      <c r="B81" s="13" t="str">
        <f>IF($A81="","",IF(IFERROR(INDEX(Barneveld!$E$4:$E$36,MATCH($A81,Barneveld!$C$4:$C$36,0)),"")&lt;&gt;"",IFERROR(INDEX(Barneveld!$E$4:$E$36,MATCH($A81,Barneveld!$C$4:$C$36,0)),""),IF(IFERROR(INDEX(Baarn!$F$4:$F$38,MATCH($A81,Baarn!$C$4:$C$38,0)),"")&lt;&gt;"",IFERROR(INDEX(Baarn!$F$4:$F$38,MATCH($A81,Baarn!$C$4:$C$38,0)),""),IF(IFERROR(INDEX(Scherpenzeel!$F$4:$F$103,MATCH($A81,Scherpenzeel!$C$4:$C$103,0)),"")&lt;&gt;"",IFERROR(INDEX(Scherpenzeel!$F$4:$F$103,MATCH($A81,Scherpenzeel!$C$4:$C$103,0)),""),IF(IFERROR(INDEX('4'!$F$4:$F$103,MATCH($A81,'4'!$C$4:$C$103,0)),"")&lt;&gt;"",IFERROR(INDEX('4'!$F$4:$F$103,MATCH($A81,'4'!$C$4:$C$103,0)),""),IFERROR(INDEX('5'!$F$4:$F$103,MATCH($A81,'5'!$C$4:$C$103,0)),""))))))</f>
        <v/>
      </c>
      <c r="C81" s="13" t="str">
        <f>IF($A81="","",IF(IFERROR(INDEX(Barneveld!$D$4:$D$36,MATCH($A81,Barneveld!$C$4:$C$36,0)),"")&lt;&gt;"",IFERROR(INDEX(Barneveld!$D$4:$D$36,MATCH($A81,Barneveld!$C$4:$C$36,0)),""),IF(IFERROR(INDEX(Baarn!$E$4:$E$38,MATCH($A81,Baarn!$C$4:$C$38,0)),"")&lt;&gt;"",IFERROR(INDEX(Baarn!$E$4:$E$38,MATCH($A81,Baarn!$C$4:$C$38,0)),""),IF(IFERROR(INDEX(Scherpenzeel!$E$4:$E$103,MATCH($A81,Scherpenzeel!$C$4:$C$103,0)),"")&lt;&gt;"",IFERROR(INDEX(Scherpenzeel!$E$4:$E$103,MATCH($A81,Scherpenzeel!$C$4:$C$103,0)),""),IF(IFERROR(INDEX('4'!$E$4:$E$103,MATCH($A81,'4'!$C$4:$C$103,0)),"")&lt;&gt;"",IFERROR(INDEX('4'!$E$4:$E$103,MATCH($A81,'4'!$C$4:$C$103,0)),""),IFERROR(INDEX('5'!$E$4:$E$103,MATCH($A81,'5'!$C$4:$C$103,0)),""))))))</f>
        <v/>
      </c>
      <c r="D81" s="24" t="str">
        <f>IF($A81="","",IFERROR(INDEX(Barneveld!$A$4:$A$36,MATCH($A81,Barneveld!$C$4:$C$36,0)),""))</f>
        <v/>
      </c>
      <c r="E81" s="15">
        <f>IF($A81="",0,IFERROR(INDEX(Barneveld!$H$4:$H$36,MATCH($A81,Barneveld!$C$4:$C$36,0)),0))</f>
        <v>0</v>
      </c>
      <c r="F81" s="24" t="str">
        <f>IF($A81="","",IFERROR(INDEX(Baarn!$A$4:$A$38,MATCH($A81,Baarn!$C$4:$C$38,0)),""))</f>
        <v/>
      </c>
      <c r="G81" s="15">
        <f>IF($A81="",0,IFERROR(INDEX(Baarn!$I$4:$I$38,MATCH($A81,Baarn!$C$4:$C$38,0)),0))</f>
        <v>0</v>
      </c>
      <c r="H81" s="24" t="str">
        <f>IF($A81="","",IFERROR(INDEX(Scherpenzeel!$A$4:$A$103,MATCH($A81,Scherpenzeel!$C$4:$C$103,0)),""))</f>
        <v/>
      </c>
      <c r="I81" s="15">
        <f>IF($A81="",0,IFERROR(INDEX(Scherpenzeel!$I$4:$I$103,MATCH($A81,Scherpenzeel!$C$4:$C$103,0)),0))</f>
        <v>0</v>
      </c>
      <c r="J81" s="24" t="str">
        <f>IF($A81="","",IFERROR(INDEX('4'!$A$4:$A$103,MATCH($A81,'4'!$C$4:$C$103,0)),""))</f>
        <v/>
      </c>
      <c r="K81" s="15">
        <f>IF($A81="",0,IFERROR(INDEX('4'!$I$4:$I$103,MATCH($A81,'4'!$C$4:$C$103,0)),0))</f>
        <v>0</v>
      </c>
      <c r="L81" s="24" t="str">
        <f>IF($A81="","",IFERROR(INDEX('5'!$A$4:$A$103,MATCH($A81,'5'!$C$4:$C$103,0)),""))</f>
        <v/>
      </c>
      <c r="M81" s="15">
        <f>IF($A81="",0,IFERROR(INDEX('5'!$I$4:$I$103,MATCH($A81,'5'!$C$4:$C$103,0)),0))</f>
        <v>0</v>
      </c>
      <c r="N81" s="25" t="str">
        <f>IF($A81="","",E81+G81+I81+K81+M81)</f>
        <v/>
      </c>
      <c r="O81" s="26" t="str">
        <f>IF(OR($A81="",N81="",N81=0),"",RANK(N81,$N$4:$N$203,0))</f>
        <v/>
      </c>
      <c r="AA81" t="str">
        <f>Scherpenzeel!C16</f>
        <v>Eddy van IJzendoorn</v>
      </c>
      <c r="AB81">
        <f>IF(AA81="",0,IF(COUNTIF($AA$1:AA81,AA81)=1,1,0))</f>
        <v>0</v>
      </c>
      <c r="AC81" t="str">
        <f>IF(AB81=1,COUNTIF($AB$1:AB81,1),"")</f>
        <v/>
      </c>
    </row>
    <row r="82" spans="1:29" x14ac:dyDescent="0.25">
      <c r="A82" s="13" t="str">
        <f>IFERROR(INDEX($AA$1:$AA$368,MATCH(79,$AC$1:$AC$368,0)),"")</f>
        <v/>
      </c>
      <c r="B82" s="13" t="str">
        <f>IF($A82="","",IF(IFERROR(INDEX(Barneveld!$E$4:$E$36,MATCH($A82,Barneveld!$C$4:$C$36,0)),"")&lt;&gt;"",IFERROR(INDEX(Barneveld!$E$4:$E$36,MATCH($A82,Barneveld!$C$4:$C$36,0)),""),IF(IFERROR(INDEX(Baarn!$F$4:$F$38,MATCH($A82,Baarn!$C$4:$C$38,0)),"")&lt;&gt;"",IFERROR(INDEX(Baarn!$F$4:$F$38,MATCH($A82,Baarn!$C$4:$C$38,0)),""),IF(IFERROR(INDEX(Scherpenzeel!$F$4:$F$103,MATCH($A82,Scherpenzeel!$C$4:$C$103,0)),"")&lt;&gt;"",IFERROR(INDEX(Scherpenzeel!$F$4:$F$103,MATCH($A82,Scherpenzeel!$C$4:$C$103,0)),""),IF(IFERROR(INDEX('4'!$F$4:$F$103,MATCH($A82,'4'!$C$4:$C$103,0)),"")&lt;&gt;"",IFERROR(INDEX('4'!$F$4:$F$103,MATCH($A82,'4'!$C$4:$C$103,0)),""),IFERROR(INDEX('5'!$F$4:$F$103,MATCH($A82,'5'!$C$4:$C$103,0)),""))))))</f>
        <v/>
      </c>
      <c r="C82" s="13" t="str">
        <f>IF($A82="","",IF(IFERROR(INDEX(Barneveld!$D$4:$D$36,MATCH($A82,Barneveld!$C$4:$C$36,0)),"")&lt;&gt;"",IFERROR(INDEX(Barneveld!$D$4:$D$36,MATCH($A82,Barneveld!$C$4:$C$36,0)),""),IF(IFERROR(INDEX(Baarn!$E$4:$E$38,MATCH($A82,Baarn!$C$4:$C$38,0)),"")&lt;&gt;"",IFERROR(INDEX(Baarn!$E$4:$E$38,MATCH($A82,Baarn!$C$4:$C$38,0)),""),IF(IFERROR(INDEX(Scherpenzeel!$E$4:$E$103,MATCH($A82,Scherpenzeel!$C$4:$C$103,0)),"")&lt;&gt;"",IFERROR(INDEX(Scherpenzeel!$E$4:$E$103,MATCH($A82,Scherpenzeel!$C$4:$C$103,0)),""),IF(IFERROR(INDEX('4'!$E$4:$E$103,MATCH($A82,'4'!$C$4:$C$103,0)),"")&lt;&gt;"",IFERROR(INDEX('4'!$E$4:$E$103,MATCH($A82,'4'!$C$4:$C$103,0)),""),IFERROR(INDEX('5'!$E$4:$E$103,MATCH($A82,'5'!$C$4:$C$103,0)),""))))))</f>
        <v/>
      </c>
      <c r="D82" s="24" t="str">
        <f>IF($A82="","",IFERROR(INDEX(Barneveld!$A$4:$A$36,MATCH($A82,Barneveld!$C$4:$C$36,0)),""))</f>
        <v/>
      </c>
      <c r="E82" s="15">
        <f>IF($A82="",0,IFERROR(INDEX(Barneveld!$H$4:$H$36,MATCH($A82,Barneveld!$C$4:$C$36,0)),0))</f>
        <v>0</v>
      </c>
      <c r="F82" s="24" t="str">
        <f>IF($A82="","",IFERROR(INDEX(Baarn!$A$4:$A$38,MATCH($A82,Baarn!$C$4:$C$38,0)),""))</f>
        <v/>
      </c>
      <c r="G82" s="15">
        <f>IF($A82="",0,IFERROR(INDEX(Baarn!$I$4:$I$38,MATCH($A82,Baarn!$C$4:$C$38,0)),0))</f>
        <v>0</v>
      </c>
      <c r="H82" s="24" t="str">
        <f>IF($A82="","",IFERROR(INDEX(Scherpenzeel!$A$4:$A$103,MATCH($A82,Scherpenzeel!$C$4:$C$103,0)),""))</f>
        <v/>
      </c>
      <c r="I82" s="15">
        <f>IF($A82="",0,IFERROR(INDEX(Scherpenzeel!$I$4:$I$103,MATCH($A82,Scherpenzeel!$C$4:$C$103,0)),0))</f>
        <v>0</v>
      </c>
      <c r="J82" s="24" t="str">
        <f>IF($A82="","",IFERROR(INDEX('4'!$A$4:$A$103,MATCH($A82,'4'!$C$4:$C$103,0)),""))</f>
        <v/>
      </c>
      <c r="K82" s="15">
        <f>IF($A82="",0,IFERROR(INDEX('4'!$I$4:$I$103,MATCH($A82,'4'!$C$4:$C$103,0)),0))</f>
        <v>0</v>
      </c>
      <c r="L82" s="24" t="str">
        <f>IF($A82="","",IFERROR(INDEX('5'!$A$4:$A$103,MATCH($A82,'5'!$C$4:$C$103,0)),""))</f>
        <v/>
      </c>
      <c r="M82" s="15">
        <f>IF($A82="",0,IFERROR(INDEX('5'!$I$4:$I$103,MATCH($A82,'5'!$C$4:$C$103,0)),0))</f>
        <v>0</v>
      </c>
      <c r="N82" s="25" t="str">
        <f>IF($A82="","",E82+G82+I82+K82+M82)</f>
        <v/>
      </c>
      <c r="O82" s="26" t="str">
        <f>IF(OR($A82="",N82="",N82=0),"",RANK(N82,$N$4:$N$203,0))</f>
        <v/>
      </c>
      <c r="AA82" t="str">
        <f>Scherpenzeel!C17</f>
        <v>Rick Veenhoven</v>
      </c>
      <c r="AB82">
        <f>IF(AA82="",0,IF(COUNTIF($AA$1:AA82,AA82)=1,1,0))</f>
        <v>0</v>
      </c>
      <c r="AC82" t="str">
        <f>IF(AB82=1,COUNTIF($AB$1:AB82,1),"")</f>
        <v/>
      </c>
    </row>
    <row r="83" spans="1:29" x14ac:dyDescent="0.25">
      <c r="A83" s="13" t="str">
        <f>IFERROR(INDEX($AA$1:$AA$368,MATCH(80,$AC$1:$AC$368,0)),"")</f>
        <v/>
      </c>
      <c r="B83" s="13" t="str">
        <f>IF($A83="","",IF(IFERROR(INDEX(Barneveld!$E$4:$E$36,MATCH($A83,Barneveld!$C$4:$C$36,0)),"")&lt;&gt;"",IFERROR(INDEX(Barneveld!$E$4:$E$36,MATCH($A83,Barneveld!$C$4:$C$36,0)),""),IF(IFERROR(INDEX(Baarn!$F$4:$F$38,MATCH($A83,Baarn!$C$4:$C$38,0)),"")&lt;&gt;"",IFERROR(INDEX(Baarn!$F$4:$F$38,MATCH($A83,Baarn!$C$4:$C$38,0)),""),IF(IFERROR(INDEX(Scherpenzeel!$F$4:$F$103,MATCH($A83,Scherpenzeel!$C$4:$C$103,0)),"")&lt;&gt;"",IFERROR(INDEX(Scherpenzeel!$F$4:$F$103,MATCH($A83,Scherpenzeel!$C$4:$C$103,0)),""),IF(IFERROR(INDEX('4'!$F$4:$F$103,MATCH($A83,'4'!$C$4:$C$103,0)),"")&lt;&gt;"",IFERROR(INDEX('4'!$F$4:$F$103,MATCH($A83,'4'!$C$4:$C$103,0)),""),IFERROR(INDEX('5'!$F$4:$F$103,MATCH($A83,'5'!$C$4:$C$103,0)),""))))))</f>
        <v/>
      </c>
      <c r="C83" s="13" t="str">
        <f>IF($A83="","",IF(IFERROR(INDEX(Barneveld!$D$4:$D$36,MATCH($A83,Barneveld!$C$4:$C$36,0)),"")&lt;&gt;"",IFERROR(INDEX(Barneveld!$D$4:$D$36,MATCH($A83,Barneveld!$C$4:$C$36,0)),""),IF(IFERROR(INDEX(Baarn!$E$4:$E$38,MATCH($A83,Baarn!$C$4:$C$38,0)),"")&lt;&gt;"",IFERROR(INDEX(Baarn!$E$4:$E$38,MATCH($A83,Baarn!$C$4:$C$38,0)),""),IF(IFERROR(INDEX(Scherpenzeel!$E$4:$E$103,MATCH($A83,Scherpenzeel!$C$4:$C$103,0)),"")&lt;&gt;"",IFERROR(INDEX(Scherpenzeel!$E$4:$E$103,MATCH($A83,Scherpenzeel!$C$4:$C$103,0)),""),IF(IFERROR(INDEX('4'!$E$4:$E$103,MATCH($A83,'4'!$C$4:$C$103,0)),"")&lt;&gt;"",IFERROR(INDEX('4'!$E$4:$E$103,MATCH($A83,'4'!$C$4:$C$103,0)),""),IFERROR(INDEX('5'!$E$4:$E$103,MATCH($A83,'5'!$C$4:$C$103,0)),""))))))</f>
        <v/>
      </c>
      <c r="D83" s="24" t="str">
        <f>IF($A83="","",IFERROR(INDEX(Barneveld!$A$4:$A$36,MATCH($A83,Barneveld!$C$4:$C$36,0)),""))</f>
        <v/>
      </c>
      <c r="E83" s="15">
        <f>IF($A83="",0,IFERROR(INDEX(Barneveld!$H$4:$H$36,MATCH($A83,Barneveld!$C$4:$C$36,0)),0))</f>
        <v>0</v>
      </c>
      <c r="F83" s="24" t="str">
        <f>IF($A83="","",IFERROR(INDEX(Baarn!$A$4:$A$38,MATCH($A83,Baarn!$C$4:$C$38,0)),""))</f>
        <v/>
      </c>
      <c r="G83" s="15">
        <f>IF($A83="",0,IFERROR(INDEX(Baarn!$I$4:$I$38,MATCH($A83,Baarn!$C$4:$C$38,0)),0))</f>
        <v>0</v>
      </c>
      <c r="H83" s="24" t="str">
        <f>IF($A83="","",IFERROR(INDEX(Scherpenzeel!$A$4:$A$103,MATCH($A83,Scherpenzeel!$C$4:$C$103,0)),""))</f>
        <v/>
      </c>
      <c r="I83" s="15">
        <f>IF($A83="",0,IFERROR(INDEX(Scherpenzeel!$I$4:$I$103,MATCH($A83,Scherpenzeel!$C$4:$C$103,0)),0))</f>
        <v>0</v>
      </c>
      <c r="J83" s="24" t="str">
        <f>IF($A83="","",IFERROR(INDEX('4'!$A$4:$A$103,MATCH($A83,'4'!$C$4:$C$103,0)),""))</f>
        <v/>
      </c>
      <c r="K83" s="15">
        <f>IF($A83="",0,IFERROR(INDEX('4'!$I$4:$I$103,MATCH($A83,'4'!$C$4:$C$103,0)),0))</f>
        <v>0</v>
      </c>
      <c r="L83" s="24" t="str">
        <f>IF($A83="","",IFERROR(INDEX('5'!$A$4:$A$103,MATCH($A83,'5'!$C$4:$C$103,0)),""))</f>
        <v/>
      </c>
      <c r="M83" s="15">
        <f>IF($A83="",0,IFERROR(INDEX('5'!$I$4:$I$103,MATCH($A83,'5'!$C$4:$C$103,0)),0))</f>
        <v>0</v>
      </c>
      <c r="N83" s="25" t="str">
        <f>IF($A83="","",E83+G83+I83+K83+M83)</f>
        <v/>
      </c>
      <c r="O83" s="26" t="str">
        <f>IF(OR($A83="",N83="",N83=0),"",RANK(N83,$N$4:$N$203,0))</f>
        <v/>
      </c>
      <c r="AA83" t="str">
        <f>Scherpenzeel!C18</f>
        <v>Nout Remeeus</v>
      </c>
      <c r="AB83">
        <f>IF(AA83="",0,IF(COUNTIF($AA$1:AA83,AA83)=1,1,0))</f>
        <v>0</v>
      </c>
      <c r="AC83" t="str">
        <f>IF(AB83=1,COUNTIF($AB$1:AB83,1),"")</f>
        <v/>
      </c>
    </row>
    <row r="84" spans="1:29" x14ac:dyDescent="0.25">
      <c r="A84" s="13" t="str">
        <f>IFERROR(INDEX($AA$1:$AA$368,MATCH(81,$AC$1:$AC$368,0)),"")</f>
        <v/>
      </c>
      <c r="B84" s="13" t="str">
        <f>IF($A84="","",IF(IFERROR(INDEX(Barneveld!$E$4:$E$36,MATCH($A84,Barneveld!$C$4:$C$36,0)),"")&lt;&gt;"",IFERROR(INDEX(Barneveld!$E$4:$E$36,MATCH($A84,Barneveld!$C$4:$C$36,0)),""),IF(IFERROR(INDEX(Baarn!$F$4:$F$38,MATCH($A84,Baarn!$C$4:$C$38,0)),"")&lt;&gt;"",IFERROR(INDEX(Baarn!$F$4:$F$38,MATCH($A84,Baarn!$C$4:$C$38,0)),""),IF(IFERROR(INDEX(Scherpenzeel!$F$4:$F$103,MATCH($A84,Scherpenzeel!$C$4:$C$103,0)),"")&lt;&gt;"",IFERROR(INDEX(Scherpenzeel!$F$4:$F$103,MATCH($A84,Scherpenzeel!$C$4:$C$103,0)),""),IF(IFERROR(INDEX('4'!$F$4:$F$103,MATCH($A84,'4'!$C$4:$C$103,0)),"")&lt;&gt;"",IFERROR(INDEX('4'!$F$4:$F$103,MATCH($A84,'4'!$C$4:$C$103,0)),""),IFERROR(INDEX('5'!$F$4:$F$103,MATCH($A84,'5'!$C$4:$C$103,0)),""))))))</f>
        <v/>
      </c>
      <c r="C84" s="13" t="str">
        <f>IF($A84="","",IF(IFERROR(INDEX(Barneveld!$D$4:$D$36,MATCH($A84,Barneveld!$C$4:$C$36,0)),"")&lt;&gt;"",IFERROR(INDEX(Barneveld!$D$4:$D$36,MATCH($A84,Barneveld!$C$4:$C$36,0)),""),IF(IFERROR(INDEX(Baarn!$E$4:$E$38,MATCH($A84,Baarn!$C$4:$C$38,0)),"")&lt;&gt;"",IFERROR(INDEX(Baarn!$E$4:$E$38,MATCH($A84,Baarn!$C$4:$C$38,0)),""),IF(IFERROR(INDEX(Scherpenzeel!$E$4:$E$103,MATCH($A84,Scherpenzeel!$C$4:$C$103,0)),"")&lt;&gt;"",IFERROR(INDEX(Scherpenzeel!$E$4:$E$103,MATCH($A84,Scherpenzeel!$C$4:$C$103,0)),""),IF(IFERROR(INDEX('4'!$E$4:$E$103,MATCH($A84,'4'!$C$4:$C$103,0)),"")&lt;&gt;"",IFERROR(INDEX('4'!$E$4:$E$103,MATCH($A84,'4'!$C$4:$C$103,0)),""),IFERROR(INDEX('5'!$E$4:$E$103,MATCH($A84,'5'!$C$4:$C$103,0)),""))))))</f>
        <v/>
      </c>
      <c r="D84" s="24" t="str">
        <f>IF($A84="","",IFERROR(INDEX(Barneveld!$A$4:$A$36,MATCH($A84,Barneveld!$C$4:$C$36,0)),""))</f>
        <v/>
      </c>
      <c r="E84" s="15">
        <f>IF($A84="",0,IFERROR(INDEX(Barneveld!$H$4:$H$36,MATCH($A84,Barneveld!$C$4:$C$36,0)),0))</f>
        <v>0</v>
      </c>
      <c r="F84" s="24" t="str">
        <f>IF($A84="","",IFERROR(INDEX(Baarn!$A$4:$A$38,MATCH($A84,Baarn!$C$4:$C$38,0)),""))</f>
        <v/>
      </c>
      <c r="G84" s="15">
        <f>IF($A84="",0,IFERROR(INDEX(Baarn!$I$4:$I$38,MATCH($A84,Baarn!$C$4:$C$38,0)),0))</f>
        <v>0</v>
      </c>
      <c r="H84" s="24" t="str">
        <f>IF($A84="","",IFERROR(INDEX(Scherpenzeel!$A$4:$A$103,MATCH($A84,Scherpenzeel!$C$4:$C$103,0)),""))</f>
        <v/>
      </c>
      <c r="I84" s="15">
        <f>IF($A84="",0,IFERROR(INDEX(Scherpenzeel!$I$4:$I$103,MATCH($A84,Scherpenzeel!$C$4:$C$103,0)),0))</f>
        <v>0</v>
      </c>
      <c r="J84" s="24" t="str">
        <f>IF($A84="","",IFERROR(INDEX('4'!$A$4:$A$103,MATCH($A84,'4'!$C$4:$C$103,0)),""))</f>
        <v/>
      </c>
      <c r="K84" s="15">
        <f>IF($A84="",0,IFERROR(INDEX('4'!$I$4:$I$103,MATCH($A84,'4'!$C$4:$C$103,0)),0))</f>
        <v>0</v>
      </c>
      <c r="L84" s="24" t="str">
        <f>IF($A84="","",IFERROR(INDEX('5'!$A$4:$A$103,MATCH($A84,'5'!$C$4:$C$103,0)),""))</f>
        <v/>
      </c>
      <c r="M84" s="15">
        <f>IF($A84="",0,IFERROR(INDEX('5'!$I$4:$I$103,MATCH($A84,'5'!$C$4:$C$103,0)),0))</f>
        <v>0</v>
      </c>
      <c r="N84" s="25" t="str">
        <f>IF($A84="","",E84+G84+I84+K84+M84)</f>
        <v/>
      </c>
      <c r="O84" s="26" t="str">
        <f>IF(OR($A84="",N84="",N84=0),"",RANK(N84,$N$4:$N$203,0))</f>
        <v/>
      </c>
      <c r="AA84" t="str">
        <f>Scherpenzeel!C19</f>
        <v>Stefan Appelman</v>
      </c>
      <c r="AB84">
        <f>IF(AA84="",0,IF(COUNTIF($AA$1:AA84,AA84)=1,1,0))</f>
        <v>1</v>
      </c>
      <c r="AC84">
        <f>IF(AB84=1,COUNTIF($AB$1:AB84,1),"")</f>
        <v>51</v>
      </c>
    </row>
    <row r="85" spans="1:29" x14ac:dyDescent="0.25">
      <c r="A85" s="13" t="str">
        <f>IFERROR(INDEX($AA$1:$AA$368,MATCH(82,$AC$1:$AC$368,0)),"")</f>
        <v/>
      </c>
      <c r="B85" s="13" t="str">
        <f>IF($A85="","",IF(IFERROR(INDEX(Barneveld!$E$4:$E$36,MATCH($A85,Barneveld!$C$4:$C$36,0)),"")&lt;&gt;"",IFERROR(INDEX(Barneveld!$E$4:$E$36,MATCH($A85,Barneveld!$C$4:$C$36,0)),""),IF(IFERROR(INDEX(Baarn!$F$4:$F$38,MATCH($A85,Baarn!$C$4:$C$38,0)),"")&lt;&gt;"",IFERROR(INDEX(Baarn!$F$4:$F$38,MATCH($A85,Baarn!$C$4:$C$38,0)),""),IF(IFERROR(INDEX(Scherpenzeel!$F$4:$F$103,MATCH($A85,Scherpenzeel!$C$4:$C$103,0)),"")&lt;&gt;"",IFERROR(INDEX(Scherpenzeel!$F$4:$F$103,MATCH($A85,Scherpenzeel!$C$4:$C$103,0)),""),IF(IFERROR(INDEX('4'!$F$4:$F$103,MATCH($A85,'4'!$C$4:$C$103,0)),"")&lt;&gt;"",IFERROR(INDEX('4'!$F$4:$F$103,MATCH($A85,'4'!$C$4:$C$103,0)),""),IFERROR(INDEX('5'!$F$4:$F$103,MATCH($A85,'5'!$C$4:$C$103,0)),""))))))</f>
        <v/>
      </c>
      <c r="C85" s="13" t="str">
        <f>IF($A85="","",IF(IFERROR(INDEX(Barneveld!$D$4:$D$36,MATCH($A85,Barneveld!$C$4:$C$36,0)),"")&lt;&gt;"",IFERROR(INDEX(Barneveld!$D$4:$D$36,MATCH($A85,Barneveld!$C$4:$C$36,0)),""),IF(IFERROR(INDEX(Baarn!$E$4:$E$38,MATCH($A85,Baarn!$C$4:$C$38,0)),"")&lt;&gt;"",IFERROR(INDEX(Baarn!$E$4:$E$38,MATCH($A85,Baarn!$C$4:$C$38,0)),""),IF(IFERROR(INDEX(Scherpenzeel!$E$4:$E$103,MATCH($A85,Scherpenzeel!$C$4:$C$103,0)),"")&lt;&gt;"",IFERROR(INDEX(Scherpenzeel!$E$4:$E$103,MATCH($A85,Scherpenzeel!$C$4:$C$103,0)),""),IF(IFERROR(INDEX('4'!$E$4:$E$103,MATCH($A85,'4'!$C$4:$C$103,0)),"")&lt;&gt;"",IFERROR(INDEX('4'!$E$4:$E$103,MATCH($A85,'4'!$C$4:$C$103,0)),""),IFERROR(INDEX('5'!$E$4:$E$103,MATCH($A85,'5'!$C$4:$C$103,0)),""))))))</f>
        <v/>
      </c>
      <c r="D85" s="24" t="str">
        <f>IF($A85="","",IFERROR(INDEX(Barneveld!$A$4:$A$36,MATCH($A85,Barneveld!$C$4:$C$36,0)),""))</f>
        <v/>
      </c>
      <c r="E85" s="15">
        <f>IF($A85="",0,IFERROR(INDEX(Barneveld!$H$4:$H$36,MATCH($A85,Barneveld!$C$4:$C$36,0)),0))</f>
        <v>0</v>
      </c>
      <c r="F85" s="24" t="str">
        <f>IF($A85="","",IFERROR(INDEX(Baarn!$A$4:$A$38,MATCH($A85,Baarn!$C$4:$C$38,0)),""))</f>
        <v/>
      </c>
      <c r="G85" s="15">
        <f>IF($A85="",0,IFERROR(INDEX(Baarn!$I$4:$I$38,MATCH($A85,Baarn!$C$4:$C$38,0)),0))</f>
        <v>0</v>
      </c>
      <c r="H85" s="24" t="str">
        <f>IF($A85="","",IFERROR(INDEX(Scherpenzeel!$A$4:$A$103,MATCH($A85,Scherpenzeel!$C$4:$C$103,0)),""))</f>
        <v/>
      </c>
      <c r="I85" s="15">
        <f>IF($A85="",0,IFERROR(INDEX(Scherpenzeel!$I$4:$I$103,MATCH($A85,Scherpenzeel!$C$4:$C$103,0)),0))</f>
        <v>0</v>
      </c>
      <c r="J85" s="24" t="str">
        <f>IF($A85="","",IFERROR(INDEX('4'!$A$4:$A$103,MATCH($A85,'4'!$C$4:$C$103,0)),""))</f>
        <v/>
      </c>
      <c r="K85" s="15">
        <f>IF($A85="",0,IFERROR(INDEX('4'!$I$4:$I$103,MATCH($A85,'4'!$C$4:$C$103,0)),0))</f>
        <v>0</v>
      </c>
      <c r="L85" s="24" t="str">
        <f>IF($A85="","",IFERROR(INDEX('5'!$A$4:$A$103,MATCH($A85,'5'!$C$4:$C$103,0)),""))</f>
        <v/>
      </c>
      <c r="M85" s="15">
        <f>IF($A85="",0,IFERROR(INDEX('5'!$I$4:$I$103,MATCH($A85,'5'!$C$4:$C$103,0)),0))</f>
        <v>0</v>
      </c>
      <c r="N85" s="25" t="str">
        <f>IF($A85="","",E85+G85+I85+K85+M85)</f>
        <v/>
      </c>
      <c r="O85" s="26" t="str">
        <f>IF(OR($A85="",N85="",N85=0),"",RANK(N85,$N$4:$N$203,0))</f>
        <v/>
      </c>
      <c r="AA85" t="str">
        <f>Scherpenzeel!C20</f>
        <v>Ruud van Leeuwen</v>
      </c>
      <c r="AB85">
        <f>IF(AA85="",0,IF(COUNTIF($AA$1:AA85,AA85)=1,1,0))</f>
        <v>1</v>
      </c>
      <c r="AC85">
        <f>IF(AB85=1,COUNTIF($AB$1:AB85,1),"")</f>
        <v>52</v>
      </c>
    </row>
    <row r="86" spans="1:29" x14ac:dyDescent="0.25">
      <c r="A86" s="13" t="str">
        <f>IFERROR(INDEX($AA$1:$AA$368,MATCH(83,$AC$1:$AC$368,0)),"")</f>
        <v/>
      </c>
      <c r="B86" s="13" t="str">
        <f>IF($A86="","",IF(IFERROR(INDEX(Barneveld!$E$4:$E$36,MATCH($A86,Barneveld!$C$4:$C$36,0)),"")&lt;&gt;"",IFERROR(INDEX(Barneveld!$E$4:$E$36,MATCH($A86,Barneveld!$C$4:$C$36,0)),""),IF(IFERROR(INDEX(Baarn!$F$4:$F$38,MATCH($A86,Baarn!$C$4:$C$38,0)),"")&lt;&gt;"",IFERROR(INDEX(Baarn!$F$4:$F$38,MATCH($A86,Baarn!$C$4:$C$38,0)),""),IF(IFERROR(INDEX(Scherpenzeel!$F$4:$F$103,MATCH($A86,Scherpenzeel!$C$4:$C$103,0)),"")&lt;&gt;"",IFERROR(INDEX(Scherpenzeel!$F$4:$F$103,MATCH($A86,Scherpenzeel!$C$4:$C$103,0)),""),IF(IFERROR(INDEX('4'!$F$4:$F$103,MATCH($A86,'4'!$C$4:$C$103,0)),"")&lt;&gt;"",IFERROR(INDEX('4'!$F$4:$F$103,MATCH($A86,'4'!$C$4:$C$103,0)),""),IFERROR(INDEX('5'!$F$4:$F$103,MATCH($A86,'5'!$C$4:$C$103,0)),""))))))</f>
        <v/>
      </c>
      <c r="C86" s="13" t="str">
        <f>IF($A86="","",IF(IFERROR(INDEX(Barneveld!$D$4:$D$36,MATCH($A86,Barneveld!$C$4:$C$36,0)),"")&lt;&gt;"",IFERROR(INDEX(Barneveld!$D$4:$D$36,MATCH($A86,Barneveld!$C$4:$C$36,0)),""),IF(IFERROR(INDEX(Baarn!$E$4:$E$38,MATCH($A86,Baarn!$C$4:$C$38,0)),"")&lt;&gt;"",IFERROR(INDEX(Baarn!$E$4:$E$38,MATCH($A86,Baarn!$C$4:$C$38,0)),""),IF(IFERROR(INDEX(Scherpenzeel!$E$4:$E$103,MATCH($A86,Scherpenzeel!$C$4:$C$103,0)),"")&lt;&gt;"",IFERROR(INDEX(Scherpenzeel!$E$4:$E$103,MATCH($A86,Scherpenzeel!$C$4:$C$103,0)),""),IF(IFERROR(INDEX('4'!$E$4:$E$103,MATCH($A86,'4'!$C$4:$C$103,0)),"")&lt;&gt;"",IFERROR(INDEX('4'!$E$4:$E$103,MATCH($A86,'4'!$C$4:$C$103,0)),""),IFERROR(INDEX('5'!$E$4:$E$103,MATCH($A86,'5'!$C$4:$C$103,0)),""))))))</f>
        <v/>
      </c>
      <c r="D86" s="24" t="str">
        <f>IF($A86="","",IFERROR(INDEX(Barneveld!$A$4:$A$36,MATCH($A86,Barneveld!$C$4:$C$36,0)),""))</f>
        <v/>
      </c>
      <c r="E86" s="15">
        <f>IF($A86="",0,IFERROR(INDEX(Barneveld!$H$4:$H$36,MATCH($A86,Barneveld!$C$4:$C$36,0)),0))</f>
        <v>0</v>
      </c>
      <c r="F86" s="24" t="str">
        <f>IF($A86="","",IFERROR(INDEX(Baarn!$A$4:$A$38,MATCH($A86,Baarn!$C$4:$C$38,0)),""))</f>
        <v/>
      </c>
      <c r="G86" s="15">
        <f>IF($A86="",0,IFERROR(INDEX(Baarn!$I$4:$I$38,MATCH($A86,Baarn!$C$4:$C$38,0)),0))</f>
        <v>0</v>
      </c>
      <c r="H86" s="24" t="str">
        <f>IF($A86="","",IFERROR(INDEX(Scherpenzeel!$A$4:$A$103,MATCH($A86,Scherpenzeel!$C$4:$C$103,0)),""))</f>
        <v/>
      </c>
      <c r="I86" s="15">
        <f>IF($A86="",0,IFERROR(INDEX(Scherpenzeel!$I$4:$I$103,MATCH($A86,Scherpenzeel!$C$4:$C$103,0)),0))</f>
        <v>0</v>
      </c>
      <c r="J86" s="24" t="str">
        <f>IF($A86="","",IFERROR(INDEX('4'!$A$4:$A$103,MATCH($A86,'4'!$C$4:$C$103,0)),""))</f>
        <v/>
      </c>
      <c r="K86" s="15">
        <f>IF($A86="",0,IFERROR(INDEX('4'!$I$4:$I$103,MATCH($A86,'4'!$C$4:$C$103,0)),0))</f>
        <v>0</v>
      </c>
      <c r="L86" s="24" t="str">
        <f>IF($A86="","",IFERROR(INDEX('5'!$A$4:$A$103,MATCH($A86,'5'!$C$4:$C$103,0)),""))</f>
        <v/>
      </c>
      <c r="M86" s="15">
        <f>IF($A86="",0,IFERROR(INDEX('5'!$I$4:$I$103,MATCH($A86,'5'!$C$4:$C$103,0)),0))</f>
        <v>0</v>
      </c>
      <c r="N86" s="25" t="str">
        <f>IF($A86="","",E86+G86+I86+K86+M86)</f>
        <v/>
      </c>
      <c r="O86" s="26" t="str">
        <f>IF(OR($A86="",N86="",N86=0),"",RANK(N86,$N$4:$N$203,0))</f>
        <v/>
      </c>
      <c r="AA86" t="str">
        <f>Scherpenzeel!C21</f>
        <v>Olaf Oussoren</v>
      </c>
      <c r="AB86">
        <f>IF(AA86="",0,IF(COUNTIF($AA$1:AA86,AA86)=1,1,0))</f>
        <v>0</v>
      </c>
      <c r="AC86" t="str">
        <f>IF(AB86=1,COUNTIF($AB$1:AB86,1),"")</f>
        <v/>
      </c>
    </row>
    <row r="87" spans="1:29" x14ac:dyDescent="0.25">
      <c r="A87" s="13" t="str">
        <f>IFERROR(INDEX($AA$1:$AA$368,MATCH(84,$AC$1:$AC$368,0)),"")</f>
        <v/>
      </c>
      <c r="B87" s="13" t="str">
        <f>IF($A87="","",IF(IFERROR(INDEX(Barneveld!$E$4:$E$36,MATCH($A87,Barneveld!$C$4:$C$36,0)),"")&lt;&gt;"",IFERROR(INDEX(Barneveld!$E$4:$E$36,MATCH($A87,Barneveld!$C$4:$C$36,0)),""),IF(IFERROR(INDEX(Baarn!$F$4:$F$38,MATCH($A87,Baarn!$C$4:$C$38,0)),"")&lt;&gt;"",IFERROR(INDEX(Baarn!$F$4:$F$38,MATCH($A87,Baarn!$C$4:$C$38,0)),""),IF(IFERROR(INDEX(Scherpenzeel!$F$4:$F$103,MATCH($A87,Scherpenzeel!$C$4:$C$103,0)),"")&lt;&gt;"",IFERROR(INDEX(Scherpenzeel!$F$4:$F$103,MATCH($A87,Scherpenzeel!$C$4:$C$103,0)),""),IF(IFERROR(INDEX('4'!$F$4:$F$103,MATCH($A87,'4'!$C$4:$C$103,0)),"")&lt;&gt;"",IFERROR(INDEX('4'!$F$4:$F$103,MATCH($A87,'4'!$C$4:$C$103,0)),""),IFERROR(INDEX('5'!$F$4:$F$103,MATCH($A87,'5'!$C$4:$C$103,0)),""))))))</f>
        <v/>
      </c>
      <c r="C87" s="13" t="str">
        <f>IF($A87="","",IF(IFERROR(INDEX(Barneveld!$D$4:$D$36,MATCH($A87,Barneveld!$C$4:$C$36,0)),"")&lt;&gt;"",IFERROR(INDEX(Barneveld!$D$4:$D$36,MATCH($A87,Barneveld!$C$4:$C$36,0)),""),IF(IFERROR(INDEX(Baarn!$E$4:$E$38,MATCH($A87,Baarn!$C$4:$C$38,0)),"")&lt;&gt;"",IFERROR(INDEX(Baarn!$E$4:$E$38,MATCH($A87,Baarn!$C$4:$C$38,0)),""),IF(IFERROR(INDEX(Scherpenzeel!$E$4:$E$103,MATCH($A87,Scherpenzeel!$C$4:$C$103,0)),"")&lt;&gt;"",IFERROR(INDEX(Scherpenzeel!$E$4:$E$103,MATCH($A87,Scherpenzeel!$C$4:$C$103,0)),""),IF(IFERROR(INDEX('4'!$E$4:$E$103,MATCH($A87,'4'!$C$4:$C$103,0)),"")&lt;&gt;"",IFERROR(INDEX('4'!$E$4:$E$103,MATCH($A87,'4'!$C$4:$C$103,0)),""),IFERROR(INDEX('5'!$E$4:$E$103,MATCH($A87,'5'!$C$4:$C$103,0)),""))))))</f>
        <v/>
      </c>
      <c r="D87" s="24" t="str">
        <f>IF($A87="","",IFERROR(INDEX(Barneveld!$A$4:$A$36,MATCH($A87,Barneveld!$C$4:$C$36,0)),""))</f>
        <v/>
      </c>
      <c r="E87" s="15">
        <f>IF($A87="",0,IFERROR(INDEX(Barneveld!$H$4:$H$36,MATCH($A87,Barneveld!$C$4:$C$36,0)),0))</f>
        <v>0</v>
      </c>
      <c r="F87" s="24" t="str">
        <f>IF($A87="","",IFERROR(INDEX(Baarn!$A$4:$A$38,MATCH($A87,Baarn!$C$4:$C$38,0)),""))</f>
        <v/>
      </c>
      <c r="G87" s="15">
        <f>IF($A87="",0,IFERROR(INDEX(Baarn!$I$4:$I$38,MATCH($A87,Baarn!$C$4:$C$38,0)),0))</f>
        <v>0</v>
      </c>
      <c r="H87" s="24" t="str">
        <f>IF($A87="","",IFERROR(INDEX(Scherpenzeel!$A$4:$A$103,MATCH($A87,Scherpenzeel!$C$4:$C$103,0)),""))</f>
        <v/>
      </c>
      <c r="I87" s="15">
        <f>IF($A87="",0,IFERROR(INDEX(Scherpenzeel!$I$4:$I$103,MATCH($A87,Scherpenzeel!$C$4:$C$103,0)),0))</f>
        <v>0</v>
      </c>
      <c r="J87" s="24" t="str">
        <f>IF($A87="","",IFERROR(INDEX('4'!$A$4:$A$103,MATCH($A87,'4'!$C$4:$C$103,0)),""))</f>
        <v/>
      </c>
      <c r="K87" s="15">
        <f>IF($A87="",0,IFERROR(INDEX('4'!$I$4:$I$103,MATCH($A87,'4'!$C$4:$C$103,0)),0))</f>
        <v>0</v>
      </c>
      <c r="L87" s="24" t="str">
        <f>IF($A87="","",IFERROR(INDEX('5'!$A$4:$A$103,MATCH($A87,'5'!$C$4:$C$103,0)),""))</f>
        <v/>
      </c>
      <c r="M87" s="15">
        <f>IF($A87="",0,IFERROR(INDEX('5'!$I$4:$I$103,MATCH($A87,'5'!$C$4:$C$103,0)),0))</f>
        <v>0</v>
      </c>
      <c r="N87" s="25" t="str">
        <f>IF($A87="","",E87+G87+I87+K87+M87)</f>
        <v/>
      </c>
      <c r="O87" s="26" t="str">
        <f>IF(OR($A87="",N87="",N87=0),"",RANK(N87,$N$4:$N$203,0))</f>
        <v/>
      </c>
      <c r="AA87" t="str">
        <f>Scherpenzeel!C22</f>
        <v>Jesse Haaksman</v>
      </c>
      <c r="AB87">
        <f>IF(AA87="",0,IF(COUNTIF($AA$1:AA87,AA87)=1,1,0))</f>
        <v>1</v>
      </c>
      <c r="AC87">
        <f>IF(AB87=1,COUNTIF($AB$1:AB87,1),"")</f>
        <v>53</v>
      </c>
    </row>
    <row r="88" spans="1:29" x14ac:dyDescent="0.25">
      <c r="A88" s="13" t="str">
        <f>IFERROR(INDEX($AA$1:$AA$368,MATCH(85,$AC$1:$AC$368,0)),"")</f>
        <v/>
      </c>
      <c r="B88" s="13" t="str">
        <f>IF($A88="","",IF(IFERROR(INDEX(Barneveld!$E$4:$E$36,MATCH($A88,Barneveld!$C$4:$C$36,0)),"")&lt;&gt;"",IFERROR(INDEX(Barneveld!$E$4:$E$36,MATCH($A88,Barneveld!$C$4:$C$36,0)),""),IF(IFERROR(INDEX(Baarn!$F$4:$F$38,MATCH($A88,Baarn!$C$4:$C$38,0)),"")&lt;&gt;"",IFERROR(INDEX(Baarn!$F$4:$F$38,MATCH($A88,Baarn!$C$4:$C$38,0)),""),IF(IFERROR(INDEX(Scherpenzeel!$F$4:$F$103,MATCH($A88,Scherpenzeel!$C$4:$C$103,0)),"")&lt;&gt;"",IFERROR(INDEX(Scherpenzeel!$F$4:$F$103,MATCH($A88,Scherpenzeel!$C$4:$C$103,0)),""),IF(IFERROR(INDEX('4'!$F$4:$F$103,MATCH($A88,'4'!$C$4:$C$103,0)),"")&lt;&gt;"",IFERROR(INDEX('4'!$F$4:$F$103,MATCH($A88,'4'!$C$4:$C$103,0)),""),IFERROR(INDEX('5'!$F$4:$F$103,MATCH($A88,'5'!$C$4:$C$103,0)),""))))))</f>
        <v/>
      </c>
      <c r="C88" s="13" t="str">
        <f>IF($A88="","",IF(IFERROR(INDEX(Barneveld!$D$4:$D$36,MATCH($A88,Barneveld!$C$4:$C$36,0)),"")&lt;&gt;"",IFERROR(INDEX(Barneveld!$D$4:$D$36,MATCH($A88,Barneveld!$C$4:$C$36,0)),""),IF(IFERROR(INDEX(Baarn!$E$4:$E$38,MATCH($A88,Baarn!$C$4:$C$38,0)),"")&lt;&gt;"",IFERROR(INDEX(Baarn!$E$4:$E$38,MATCH($A88,Baarn!$C$4:$C$38,0)),""),IF(IFERROR(INDEX(Scherpenzeel!$E$4:$E$103,MATCH($A88,Scherpenzeel!$C$4:$C$103,0)),"")&lt;&gt;"",IFERROR(INDEX(Scherpenzeel!$E$4:$E$103,MATCH($A88,Scherpenzeel!$C$4:$C$103,0)),""),IF(IFERROR(INDEX('4'!$E$4:$E$103,MATCH($A88,'4'!$C$4:$C$103,0)),"")&lt;&gt;"",IFERROR(INDEX('4'!$E$4:$E$103,MATCH($A88,'4'!$C$4:$C$103,0)),""),IFERROR(INDEX('5'!$E$4:$E$103,MATCH($A88,'5'!$C$4:$C$103,0)),""))))))</f>
        <v/>
      </c>
      <c r="D88" s="24" t="str">
        <f>IF($A88="","",IFERROR(INDEX(Barneveld!$A$4:$A$36,MATCH($A88,Barneveld!$C$4:$C$36,0)),""))</f>
        <v/>
      </c>
      <c r="E88" s="15">
        <f>IF($A88="",0,IFERROR(INDEX(Barneveld!$H$4:$H$36,MATCH($A88,Barneveld!$C$4:$C$36,0)),0))</f>
        <v>0</v>
      </c>
      <c r="F88" s="24" t="str">
        <f>IF($A88="","",IFERROR(INDEX(Baarn!$A$4:$A$38,MATCH($A88,Baarn!$C$4:$C$38,0)),""))</f>
        <v/>
      </c>
      <c r="G88" s="15">
        <f>IF($A88="",0,IFERROR(INDEX(Baarn!$I$4:$I$38,MATCH($A88,Baarn!$C$4:$C$38,0)),0))</f>
        <v>0</v>
      </c>
      <c r="H88" s="24" t="str">
        <f>IF($A88="","",IFERROR(INDEX(Scherpenzeel!$A$4:$A$103,MATCH($A88,Scherpenzeel!$C$4:$C$103,0)),""))</f>
        <v/>
      </c>
      <c r="I88" s="15">
        <f>IF($A88="",0,IFERROR(INDEX(Scherpenzeel!$I$4:$I$103,MATCH($A88,Scherpenzeel!$C$4:$C$103,0)),0))</f>
        <v>0</v>
      </c>
      <c r="J88" s="24" t="str">
        <f>IF($A88="","",IFERROR(INDEX('4'!$A$4:$A$103,MATCH($A88,'4'!$C$4:$C$103,0)),""))</f>
        <v/>
      </c>
      <c r="K88" s="15">
        <f>IF($A88="",0,IFERROR(INDEX('4'!$I$4:$I$103,MATCH($A88,'4'!$C$4:$C$103,0)),0))</f>
        <v>0</v>
      </c>
      <c r="L88" s="24" t="str">
        <f>IF($A88="","",IFERROR(INDEX('5'!$A$4:$A$103,MATCH($A88,'5'!$C$4:$C$103,0)),""))</f>
        <v/>
      </c>
      <c r="M88" s="15">
        <f>IF($A88="",0,IFERROR(INDEX('5'!$I$4:$I$103,MATCH($A88,'5'!$C$4:$C$103,0)),0))</f>
        <v>0</v>
      </c>
      <c r="N88" s="25" t="str">
        <f>IF($A88="","",E88+G88+I88+K88+M88)</f>
        <v/>
      </c>
      <c r="O88" s="26" t="str">
        <f>IF(OR($A88="",N88="",N88=0),"",RANK(N88,$N$4:$N$203,0))</f>
        <v/>
      </c>
      <c r="AA88" t="str">
        <f>Scherpenzeel!C23</f>
        <v>Lieuwe van der Meulen</v>
      </c>
      <c r="AB88">
        <f>IF(AA88="",0,IF(COUNTIF($AA$1:AA88,AA88)=1,1,0))</f>
        <v>1</v>
      </c>
      <c r="AC88">
        <f>IF(AB88=1,COUNTIF($AB$1:AB88,1),"")</f>
        <v>54</v>
      </c>
    </row>
    <row r="89" spans="1:29" x14ac:dyDescent="0.25">
      <c r="A89" s="13" t="str">
        <f>IFERROR(INDEX($AA$1:$AA$368,MATCH(86,$AC$1:$AC$368,0)),"")</f>
        <v/>
      </c>
      <c r="B89" s="13" t="str">
        <f>IF($A89="","",IF(IFERROR(INDEX(Barneveld!$E$4:$E$36,MATCH($A89,Barneveld!$C$4:$C$36,0)),"")&lt;&gt;"",IFERROR(INDEX(Barneveld!$E$4:$E$36,MATCH($A89,Barneveld!$C$4:$C$36,0)),""),IF(IFERROR(INDEX(Baarn!$F$4:$F$38,MATCH($A89,Baarn!$C$4:$C$38,0)),"")&lt;&gt;"",IFERROR(INDEX(Baarn!$F$4:$F$38,MATCH($A89,Baarn!$C$4:$C$38,0)),""),IF(IFERROR(INDEX(Scherpenzeel!$F$4:$F$103,MATCH($A89,Scherpenzeel!$C$4:$C$103,0)),"")&lt;&gt;"",IFERROR(INDEX(Scherpenzeel!$F$4:$F$103,MATCH($A89,Scherpenzeel!$C$4:$C$103,0)),""),IF(IFERROR(INDEX('4'!$F$4:$F$103,MATCH($A89,'4'!$C$4:$C$103,0)),"")&lt;&gt;"",IFERROR(INDEX('4'!$F$4:$F$103,MATCH($A89,'4'!$C$4:$C$103,0)),""),IFERROR(INDEX('5'!$F$4:$F$103,MATCH($A89,'5'!$C$4:$C$103,0)),""))))))</f>
        <v/>
      </c>
      <c r="C89" s="13" t="str">
        <f>IF($A89="","",IF(IFERROR(INDEX(Barneveld!$D$4:$D$36,MATCH($A89,Barneveld!$C$4:$C$36,0)),"")&lt;&gt;"",IFERROR(INDEX(Barneveld!$D$4:$D$36,MATCH($A89,Barneveld!$C$4:$C$36,0)),""),IF(IFERROR(INDEX(Baarn!$E$4:$E$38,MATCH($A89,Baarn!$C$4:$C$38,0)),"")&lt;&gt;"",IFERROR(INDEX(Baarn!$E$4:$E$38,MATCH($A89,Baarn!$C$4:$C$38,0)),""),IF(IFERROR(INDEX(Scherpenzeel!$E$4:$E$103,MATCH($A89,Scherpenzeel!$C$4:$C$103,0)),"")&lt;&gt;"",IFERROR(INDEX(Scherpenzeel!$E$4:$E$103,MATCH($A89,Scherpenzeel!$C$4:$C$103,0)),""),IF(IFERROR(INDEX('4'!$E$4:$E$103,MATCH($A89,'4'!$C$4:$C$103,0)),"")&lt;&gt;"",IFERROR(INDEX('4'!$E$4:$E$103,MATCH($A89,'4'!$C$4:$C$103,0)),""),IFERROR(INDEX('5'!$E$4:$E$103,MATCH($A89,'5'!$C$4:$C$103,0)),""))))))</f>
        <v/>
      </c>
      <c r="D89" s="24" t="str">
        <f>IF($A89="","",IFERROR(INDEX(Barneveld!$A$4:$A$36,MATCH($A89,Barneveld!$C$4:$C$36,0)),""))</f>
        <v/>
      </c>
      <c r="E89" s="15">
        <f>IF($A89="",0,IFERROR(INDEX(Barneveld!$H$4:$H$36,MATCH($A89,Barneveld!$C$4:$C$36,0)),0))</f>
        <v>0</v>
      </c>
      <c r="F89" s="24" t="str">
        <f>IF($A89="","",IFERROR(INDEX(Baarn!$A$4:$A$38,MATCH($A89,Baarn!$C$4:$C$38,0)),""))</f>
        <v/>
      </c>
      <c r="G89" s="15">
        <f>IF($A89="",0,IFERROR(INDEX(Baarn!$I$4:$I$38,MATCH($A89,Baarn!$C$4:$C$38,0)),0))</f>
        <v>0</v>
      </c>
      <c r="H89" s="24" t="str">
        <f>IF($A89="","",IFERROR(INDEX(Scherpenzeel!$A$4:$A$103,MATCH($A89,Scherpenzeel!$C$4:$C$103,0)),""))</f>
        <v/>
      </c>
      <c r="I89" s="15">
        <f>IF($A89="",0,IFERROR(INDEX(Scherpenzeel!$I$4:$I$103,MATCH($A89,Scherpenzeel!$C$4:$C$103,0)),0))</f>
        <v>0</v>
      </c>
      <c r="J89" s="24" t="str">
        <f>IF($A89="","",IFERROR(INDEX('4'!$A$4:$A$103,MATCH($A89,'4'!$C$4:$C$103,0)),""))</f>
        <v/>
      </c>
      <c r="K89" s="15">
        <f>IF($A89="",0,IFERROR(INDEX('4'!$I$4:$I$103,MATCH($A89,'4'!$C$4:$C$103,0)),0))</f>
        <v>0</v>
      </c>
      <c r="L89" s="24" t="str">
        <f>IF($A89="","",IFERROR(INDEX('5'!$A$4:$A$103,MATCH($A89,'5'!$C$4:$C$103,0)),""))</f>
        <v/>
      </c>
      <c r="M89" s="15">
        <f>IF($A89="",0,IFERROR(INDEX('5'!$I$4:$I$103,MATCH($A89,'5'!$C$4:$C$103,0)),0))</f>
        <v>0</v>
      </c>
      <c r="N89" s="25" t="str">
        <f>IF($A89="","",E89+G89+I89+K89+M89)</f>
        <v/>
      </c>
      <c r="O89" s="26" t="str">
        <f>IF(OR($A89="",N89="",N89=0),"",RANK(N89,$N$4:$N$203,0))</f>
        <v/>
      </c>
      <c r="AA89" t="str">
        <f>Scherpenzeel!C24</f>
        <v>Lars Ruizendaal</v>
      </c>
      <c r="AB89">
        <f>IF(AA89="",0,IF(COUNTIF($AA$1:AA89,AA89)=1,1,0))</f>
        <v>1</v>
      </c>
      <c r="AC89">
        <f>IF(AB89=1,COUNTIF($AB$1:AB89,1),"")</f>
        <v>55</v>
      </c>
    </row>
    <row r="90" spans="1:29" x14ac:dyDescent="0.25">
      <c r="A90" s="13" t="str">
        <f>IFERROR(INDEX($AA$1:$AA$368,MATCH(87,$AC$1:$AC$368,0)),"")</f>
        <v/>
      </c>
      <c r="B90" s="13" t="str">
        <f>IF($A90="","",IF(IFERROR(INDEX(Barneveld!$E$4:$E$36,MATCH($A90,Barneveld!$C$4:$C$36,0)),"")&lt;&gt;"",IFERROR(INDEX(Barneveld!$E$4:$E$36,MATCH($A90,Barneveld!$C$4:$C$36,0)),""),IF(IFERROR(INDEX(Baarn!$F$4:$F$38,MATCH($A90,Baarn!$C$4:$C$38,0)),"")&lt;&gt;"",IFERROR(INDEX(Baarn!$F$4:$F$38,MATCH($A90,Baarn!$C$4:$C$38,0)),""),IF(IFERROR(INDEX(Scherpenzeel!$F$4:$F$103,MATCH($A90,Scherpenzeel!$C$4:$C$103,0)),"")&lt;&gt;"",IFERROR(INDEX(Scherpenzeel!$F$4:$F$103,MATCH($A90,Scherpenzeel!$C$4:$C$103,0)),""),IF(IFERROR(INDEX('4'!$F$4:$F$103,MATCH($A90,'4'!$C$4:$C$103,0)),"")&lt;&gt;"",IFERROR(INDEX('4'!$F$4:$F$103,MATCH($A90,'4'!$C$4:$C$103,0)),""),IFERROR(INDEX('5'!$F$4:$F$103,MATCH($A90,'5'!$C$4:$C$103,0)),""))))))</f>
        <v/>
      </c>
      <c r="C90" s="13" t="str">
        <f>IF($A90="","",IF(IFERROR(INDEX(Barneveld!$D$4:$D$36,MATCH($A90,Barneveld!$C$4:$C$36,0)),"")&lt;&gt;"",IFERROR(INDEX(Barneveld!$D$4:$D$36,MATCH($A90,Barneveld!$C$4:$C$36,0)),""),IF(IFERROR(INDEX(Baarn!$E$4:$E$38,MATCH($A90,Baarn!$C$4:$C$38,0)),"")&lt;&gt;"",IFERROR(INDEX(Baarn!$E$4:$E$38,MATCH($A90,Baarn!$C$4:$C$38,0)),""),IF(IFERROR(INDEX(Scherpenzeel!$E$4:$E$103,MATCH($A90,Scherpenzeel!$C$4:$C$103,0)),"")&lt;&gt;"",IFERROR(INDEX(Scherpenzeel!$E$4:$E$103,MATCH($A90,Scherpenzeel!$C$4:$C$103,0)),""),IF(IFERROR(INDEX('4'!$E$4:$E$103,MATCH($A90,'4'!$C$4:$C$103,0)),"")&lt;&gt;"",IFERROR(INDEX('4'!$E$4:$E$103,MATCH($A90,'4'!$C$4:$C$103,0)),""),IFERROR(INDEX('5'!$E$4:$E$103,MATCH($A90,'5'!$C$4:$C$103,0)),""))))))</f>
        <v/>
      </c>
      <c r="D90" s="24" t="str">
        <f>IF($A90="","",IFERROR(INDEX(Barneveld!$A$4:$A$36,MATCH($A90,Barneveld!$C$4:$C$36,0)),""))</f>
        <v/>
      </c>
      <c r="E90" s="15">
        <f>IF($A90="",0,IFERROR(INDEX(Barneveld!$H$4:$H$36,MATCH($A90,Barneveld!$C$4:$C$36,0)),0))</f>
        <v>0</v>
      </c>
      <c r="F90" s="24" t="str">
        <f>IF($A90="","",IFERROR(INDEX(Baarn!$A$4:$A$38,MATCH($A90,Baarn!$C$4:$C$38,0)),""))</f>
        <v/>
      </c>
      <c r="G90" s="15">
        <f>IF($A90="",0,IFERROR(INDEX(Baarn!$I$4:$I$38,MATCH($A90,Baarn!$C$4:$C$38,0)),0))</f>
        <v>0</v>
      </c>
      <c r="H90" s="24" t="str">
        <f>IF($A90="","",IFERROR(INDEX(Scherpenzeel!$A$4:$A$103,MATCH($A90,Scherpenzeel!$C$4:$C$103,0)),""))</f>
        <v/>
      </c>
      <c r="I90" s="15">
        <f>IF($A90="",0,IFERROR(INDEX(Scherpenzeel!$I$4:$I$103,MATCH($A90,Scherpenzeel!$C$4:$C$103,0)),0))</f>
        <v>0</v>
      </c>
      <c r="J90" s="24" t="str">
        <f>IF($A90="","",IFERROR(INDEX('4'!$A$4:$A$103,MATCH($A90,'4'!$C$4:$C$103,0)),""))</f>
        <v/>
      </c>
      <c r="K90" s="15">
        <f>IF($A90="",0,IFERROR(INDEX('4'!$I$4:$I$103,MATCH($A90,'4'!$C$4:$C$103,0)),0))</f>
        <v>0</v>
      </c>
      <c r="L90" s="24" t="str">
        <f>IF($A90="","",IFERROR(INDEX('5'!$A$4:$A$103,MATCH($A90,'5'!$C$4:$C$103,0)),""))</f>
        <v/>
      </c>
      <c r="M90" s="15">
        <f>IF($A90="",0,IFERROR(INDEX('5'!$I$4:$I$103,MATCH($A90,'5'!$C$4:$C$103,0)),0))</f>
        <v>0</v>
      </c>
      <c r="N90" s="25" t="str">
        <f>IF($A90="","",E90+G90+I90+K90+M90)</f>
        <v/>
      </c>
      <c r="O90" s="26" t="str">
        <f>IF(OR($A90="",N90="",N90=0),"",RANK(N90,$N$4:$N$203,0))</f>
        <v/>
      </c>
      <c r="AA90" t="str">
        <f>Scherpenzeel!C25</f>
        <v>Frans Hoveijn</v>
      </c>
      <c r="AB90">
        <f>IF(AA90="",0,IF(COUNTIF($AA$1:AA90,AA90)=1,1,0))</f>
        <v>1</v>
      </c>
      <c r="AC90">
        <f>IF(AB90=1,COUNTIF($AB$1:AB90,1),"")</f>
        <v>56</v>
      </c>
    </row>
    <row r="91" spans="1:29" x14ac:dyDescent="0.25">
      <c r="A91" s="13" t="str">
        <f>IFERROR(INDEX($AA$1:$AA$368,MATCH(88,$AC$1:$AC$368,0)),"")</f>
        <v/>
      </c>
      <c r="B91" s="13" t="str">
        <f>IF($A91="","",IF(IFERROR(INDEX(Barneveld!$E$4:$E$36,MATCH($A91,Barneveld!$C$4:$C$36,0)),"")&lt;&gt;"",IFERROR(INDEX(Barneveld!$E$4:$E$36,MATCH($A91,Barneveld!$C$4:$C$36,0)),""),IF(IFERROR(INDEX(Baarn!$F$4:$F$38,MATCH($A91,Baarn!$C$4:$C$38,0)),"")&lt;&gt;"",IFERROR(INDEX(Baarn!$F$4:$F$38,MATCH($A91,Baarn!$C$4:$C$38,0)),""),IF(IFERROR(INDEX(Scherpenzeel!$F$4:$F$103,MATCH($A91,Scherpenzeel!$C$4:$C$103,0)),"")&lt;&gt;"",IFERROR(INDEX(Scherpenzeel!$F$4:$F$103,MATCH($A91,Scherpenzeel!$C$4:$C$103,0)),""),IF(IFERROR(INDEX('4'!$F$4:$F$103,MATCH($A91,'4'!$C$4:$C$103,0)),"")&lt;&gt;"",IFERROR(INDEX('4'!$F$4:$F$103,MATCH($A91,'4'!$C$4:$C$103,0)),""),IFERROR(INDEX('5'!$F$4:$F$103,MATCH($A91,'5'!$C$4:$C$103,0)),""))))))</f>
        <v/>
      </c>
      <c r="C91" s="13" t="str">
        <f>IF($A91="","",IF(IFERROR(INDEX(Barneveld!$D$4:$D$36,MATCH($A91,Barneveld!$C$4:$C$36,0)),"")&lt;&gt;"",IFERROR(INDEX(Barneveld!$D$4:$D$36,MATCH($A91,Barneveld!$C$4:$C$36,0)),""),IF(IFERROR(INDEX(Baarn!$E$4:$E$38,MATCH($A91,Baarn!$C$4:$C$38,0)),"")&lt;&gt;"",IFERROR(INDEX(Baarn!$E$4:$E$38,MATCH($A91,Baarn!$C$4:$C$38,0)),""),IF(IFERROR(INDEX(Scherpenzeel!$E$4:$E$103,MATCH($A91,Scherpenzeel!$C$4:$C$103,0)),"")&lt;&gt;"",IFERROR(INDEX(Scherpenzeel!$E$4:$E$103,MATCH($A91,Scherpenzeel!$C$4:$C$103,0)),""),IF(IFERROR(INDEX('4'!$E$4:$E$103,MATCH($A91,'4'!$C$4:$C$103,0)),"")&lt;&gt;"",IFERROR(INDEX('4'!$E$4:$E$103,MATCH($A91,'4'!$C$4:$C$103,0)),""),IFERROR(INDEX('5'!$E$4:$E$103,MATCH($A91,'5'!$C$4:$C$103,0)),""))))))</f>
        <v/>
      </c>
      <c r="D91" s="24" t="str">
        <f>IF($A91="","",IFERROR(INDEX(Barneveld!$A$4:$A$36,MATCH($A91,Barneveld!$C$4:$C$36,0)),""))</f>
        <v/>
      </c>
      <c r="E91" s="15">
        <f>IF($A91="",0,IFERROR(INDEX(Barneveld!$H$4:$H$36,MATCH($A91,Barneveld!$C$4:$C$36,0)),0))</f>
        <v>0</v>
      </c>
      <c r="F91" s="24" t="str">
        <f>IF($A91="","",IFERROR(INDEX(Baarn!$A$4:$A$38,MATCH($A91,Baarn!$C$4:$C$38,0)),""))</f>
        <v/>
      </c>
      <c r="G91" s="15">
        <f>IF($A91="",0,IFERROR(INDEX(Baarn!$I$4:$I$38,MATCH($A91,Baarn!$C$4:$C$38,0)),0))</f>
        <v>0</v>
      </c>
      <c r="H91" s="24" t="str">
        <f>IF($A91="","",IFERROR(INDEX(Scherpenzeel!$A$4:$A$103,MATCH($A91,Scherpenzeel!$C$4:$C$103,0)),""))</f>
        <v/>
      </c>
      <c r="I91" s="15">
        <f>IF($A91="",0,IFERROR(INDEX(Scherpenzeel!$I$4:$I$103,MATCH($A91,Scherpenzeel!$C$4:$C$103,0)),0))</f>
        <v>0</v>
      </c>
      <c r="J91" s="24" t="str">
        <f>IF($A91="","",IFERROR(INDEX('4'!$A$4:$A$103,MATCH($A91,'4'!$C$4:$C$103,0)),""))</f>
        <v/>
      </c>
      <c r="K91" s="15">
        <f>IF($A91="",0,IFERROR(INDEX('4'!$I$4:$I$103,MATCH($A91,'4'!$C$4:$C$103,0)),0))</f>
        <v>0</v>
      </c>
      <c r="L91" s="24" t="str">
        <f>IF($A91="","",IFERROR(INDEX('5'!$A$4:$A$103,MATCH($A91,'5'!$C$4:$C$103,0)),""))</f>
        <v/>
      </c>
      <c r="M91" s="15">
        <f>IF($A91="",0,IFERROR(INDEX('5'!$I$4:$I$103,MATCH($A91,'5'!$C$4:$C$103,0)),0))</f>
        <v>0</v>
      </c>
      <c r="N91" s="25" t="str">
        <f>IF($A91="","",E91+G91+I91+K91+M91)</f>
        <v/>
      </c>
      <c r="O91" s="26" t="str">
        <f>IF(OR($A91="",N91="",N91=0),"",RANK(N91,$N$4:$N$203,0))</f>
        <v/>
      </c>
      <c r="AA91" t="str">
        <f>Scherpenzeel!C26</f>
        <v>Patrick Stengs</v>
      </c>
      <c r="AB91">
        <f>IF(AA91="",0,IF(COUNTIF($AA$1:AA91,AA91)=1,1,0))</f>
        <v>1</v>
      </c>
      <c r="AC91">
        <f>IF(AB91=1,COUNTIF($AB$1:AB91,1),"")</f>
        <v>57</v>
      </c>
    </row>
    <row r="92" spans="1:29" x14ac:dyDescent="0.25">
      <c r="A92" s="13" t="str">
        <f>IFERROR(INDEX($AA$1:$AA$368,MATCH(89,$AC$1:$AC$368,0)),"")</f>
        <v/>
      </c>
      <c r="B92" s="13" t="str">
        <f>IF($A92="","",IF(IFERROR(INDEX(Barneveld!$E$4:$E$36,MATCH($A92,Barneveld!$C$4:$C$36,0)),"")&lt;&gt;"",IFERROR(INDEX(Barneveld!$E$4:$E$36,MATCH($A92,Barneveld!$C$4:$C$36,0)),""),IF(IFERROR(INDEX(Baarn!$F$4:$F$38,MATCH($A92,Baarn!$C$4:$C$38,0)),"")&lt;&gt;"",IFERROR(INDEX(Baarn!$F$4:$F$38,MATCH($A92,Baarn!$C$4:$C$38,0)),""),IF(IFERROR(INDEX(Scherpenzeel!$F$4:$F$103,MATCH($A92,Scherpenzeel!$C$4:$C$103,0)),"")&lt;&gt;"",IFERROR(INDEX(Scherpenzeel!$F$4:$F$103,MATCH($A92,Scherpenzeel!$C$4:$C$103,0)),""),IF(IFERROR(INDEX('4'!$F$4:$F$103,MATCH($A92,'4'!$C$4:$C$103,0)),"")&lt;&gt;"",IFERROR(INDEX('4'!$F$4:$F$103,MATCH($A92,'4'!$C$4:$C$103,0)),""),IFERROR(INDEX('5'!$F$4:$F$103,MATCH($A92,'5'!$C$4:$C$103,0)),""))))))</f>
        <v/>
      </c>
      <c r="C92" s="13" t="str">
        <f>IF($A92="","",IF(IFERROR(INDEX(Barneveld!$D$4:$D$36,MATCH($A92,Barneveld!$C$4:$C$36,0)),"")&lt;&gt;"",IFERROR(INDEX(Barneveld!$D$4:$D$36,MATCH($A92,Barneveld!$C$4:$C$36,0)),""),IF(IFERROR(INDEX(Baarn!$E$4:$E$38,MATCH($A92,Baarn!$C$4:$C$38,0)),"")&lt;&gt;"",IFERROR(INDEX(Baarn!$E$4:$E$38,MATCH($A92,Baarn!$C$4:$C$38,0)),""),IF(IFERROR(INDEX(Scherpenzeel!$E$4:$E$103,MATCH($A92,Scherpenzeel!$C$4:$C$103,0)),"")&lt;&gt;"",IFERROR(INDEX(Scherpenzeel!$E$4:$E$103,MATCH($A92,Scherpenzeel!$C$4:$C$103,0)),""),IF(IFERROR(INDEX('4'!$E$4:$E$103,MATCH($A92,'4'!$C$4:$C$103,0)),"")&lt;&gt;"",IFERROR(INDEX('4'!$E$4:$E$103,MATCH($A92,'4'!$C$4:$C$103,0)),""),IFERROR(INDEX('5'!$E$4:$E$103,MATCH($A92,'5'!$C$4:$C$103,0)),""))))))</f>
        <v/>
      </c>
      <c r="D92" s="24" t="str">
        <f>IF($A92="","",IFERROR(INDEX(Barneveld!$A$4:$A$36,MATCH($A92,Barneveld!$C$4:$C$36,0)),""))</f>
        <v/>
      </c>
      <c r="E92" s="15">
        <f>IF($A92="",0,IFERROR(INDEX(Barneveld!$H$4:$H$36,MATCH($A92,Barneveld!$C$4:$C$36,0)),0))</f>
        <v>0</v>
      </c>
      <c r="F92" s="24" t="str">
        <f>IF($A92="","",IFERROR(INDEX(Baarn!$A$4:$A$38,MATCH($A92,Baarn!$C$4:$C$38,0)),""))</f>
        <v/>
      </c>
      <c r="G92" s="15">
        <f>IF($A92="",0,IFERROR(INDEX(Baarn!$I$4:$I$38,MATCH($A92,Baarn!$C$4:$C$38,0)),0))</f>
        <v>0</v>
      </c>
      <c r="H92" s="24" t="str">
        <f>IF($A92="","",IFERROR(INDEX(Scherpenzeel!$A$4:$A$103,MATCH($A92,Scherpenzeel!$C$4:$C$103,0)),""))</f>
        <v/>
      </c>
      <c r="I92" s="15">
        <f>IF($A92="",0,IFERROR(INDEX(Scherpenzeel!$I$4:$I$103,MATCH($A92,Scherpenzeel!$C$4:$C$103,0)),0))</f>
        <v>0</v>
      </c>
      <c r="J92" s="24" t="str">
        <f>IF($A92="","",IFERROR(INDEX('4'!$A$4:$A$103,MATCH($A92,'4'!$C$4:$C$103,0)),""))</f>
        <v/>
      </c>
      <c r="K92" s="15">
        <f>IF($A92="",0,IFERROR(INDEX('4'!$I$4:$I$103,MATCH($A92,'4'!$C$4:$C$103,0)),0))</f>
        <v>0</v>
      </c>
      <c r="L92" s="24" t="str">
        <f>IF($A92="","",IFERROR(INDEX('5'!$A$4:$A$103,MATCH($A92,'5'!$C$4:$C$103,0)),""))</f>
        <v/>
      </c>
      <c r="M92" s="15">
        <f>IF($A92="",0,IFERROR(INDEX('5'!$I$4:$I$103,MATCH($A92,'5'!$C$4:$C$103,0)),0))</f>
        <v>0</v>
      </c>
      <c r="N92" s="25" t="str">
        <f>IF($A92="","",E92+G92+I92+K92+M92)</f>
        <v/>
      </c>
      <c r="O92" s="26" t="str">
        <f>IF(OR($A92="",N92="",N92=0),"",RANK(N92,$N$4:$N$203,0))</f>
        <v/>
      </c>
      <c r="AA92" t="str">
        <f>Scherpenzeel!C27</f>
        <v>Bas Visser</v>
      </c>
      <c r="AB92">
        <f>IF(AA92="",0,IF(COUNTIF($AA$1:AA92,AA92)=1,1,0))</f>
        <v>1</v>
      </c>
      <c r="AC92">
        <f>IF(AB92=1,COUNTIF($AB$1:AB92,1),"")</f>
        <v>58</v>
      </c>
    </row>
    <row r="93" spans="1:29" x14ac:dyDescent="0.25">
      <c r="A93" s="13" t="str">
        <f>IFERROR(INDEX($AA$1:$AA$368,MATCH(90,$AC$1:$AC$368,0)),"")</f>
        <v/>
      </c>
      <c r="B93" s="13" t="str">
        <f>IF($A93="","",IF(IFERROR(INDEX(Barneveld!$E$4:$E$36,MATCH($A93,Barneveld!$C$4:$C$36,0)),"")&lt;&gt;"",IFERROR(INDEX(Barneveld!$E$4:$E$36,MATCH($A93,Barneveld!$C$4:$C$36,0)),""),IF(IFERROR(INDEX(Baarn!$F$4:$F$38,MATCH($A93,Baarn!$C$4:$C$38,0)),"")&lt;&gt;"",IFERROR(INDEX(Baarn!$F$4:$F$38,MATCH($A93,Baarn!$C$4:$C$38,0)),""),IF(IFERROR(INDEX(Scherpenzeel!$F$4:$F$103,MATCH($A93,Scherpenzeel!$C$4:$C$103,0)),"")&lt;&gt;"",IFERROR(INDEX(Scherpenzeel!$F$4:$F$103,MATCH($A93,Scherpenzeel!$C$4:$C$103,0)),""),IF(IFERROR(INDEX('4'!$F$4:$F$103,MATCH($A93,'4'!$C$4:$C$103,0)),"")&lt;&gt;"",IFERROR(INDEX('4'!$F$4:$F$103,MATCH($A93,'4'!$C$4:$C$103,0)),""),IFERROR(INDEX('5'!$F$4:$F$103,MATCH($A93,'5'!$C$4:$C$103,0)),""))))))</f>
        <v/>
      </c>
      <c r="C93" s="13" t="str">
        <f>IF($A93="","",IF(IFERROR(INDEX(Barneveld!$D$4:$D$36,MATCH($A93,Barneveld!$C$4:$C$36,0)),"")&lt;&gt;"",IFERROR(INDEX(Barneveld!$D$4:$D$36,MATCH($A93,Barneveld!$C$4:$C$36,0)),""),IF(IFERROR(INDEX(Baarn!$E$4:$E$38,MATCH($A93,Baarn!$C$4:$C$38,0)),"")&lt;&gt;"",IFERROR(INDEX(Baarn!$E$4:$E$38,MATCH($A93,Baarn!$C$4:$C$38,0)),""),IF(IFERROR(INDEX(Scherpenzeel!$E$4:$E$103,MATCH($A93,Scherpenzeel!$C$4:$C$103,0)),"")&lt;&gt;"",IFERROR(INDEX(Scherpenzeel!$E$4:$E$103,MATCH($A93,Scherpenzeel!$C$4:$C$103,0)),""),IF(IFERROR(INDEX('4'!$E$4:$E$103,MATCH($A93,'4'!$C$4:$C$103,0)),"")&lt;&gt;"",IFERROR(INDEX('4'!$E$4:$E$103,MATCH($A93,'4'!$C$4:$C$103,0)),""),IFERROR(INDEX('5'!$E$4:$E$103,MATCH($A93,'5'!$C$4:$C$103,0)),""))))))</f>
        <v/>
      </c>
      <c r="D93" s="24" t="str">
        <f>IF($A93="","",IFERROR(INDEX(Barneveld!$A$4:$A$36,MATCH($A93,Barneveld!$C$4:$C$36,0)),""))</f>
        <v/>
      </c>
      <c r="E93" s="15">
        <f>IF($A93="",0,IFERROR(INDEX(Barneveld!$H$4:$H$36,MATCH($A93,Barneveld!$C$4:$C$36,0)),0))</f>
        <v>0</v>
      </c>
      <c r="F93" s="24" t="str">
        <f>IF($A93="","",IFERROR(INDEX(Baarn!$A$4:$A$38,MATCH($A93,Baarn!$C$4:$C$38,0)),""))</f>
        <v/>
      </c>
      <c r="G93" s="15">
        <f>IF($A93="",0,IFERROR(INDEX(Baarn!$I$4:$I$38,MATCH($A93,Baarn!$C$4:$C$38,0)),0))</f>
        <v>0</v>
      </c>
      <c r="H93" s="24" t="str">
        <f>IF($A93="","",IFERROR(INDEX(Scherpenzeel!$A$4:$A$103,MATCH($A93,Scherpenzeel!$C$4:$C$103,0)),""))</f>
        <v/>
      </c>
      <c r="I93" s="15">
        <f>IF($A93="",0,IFERROR(INDEX(Scherpenzeel!$I$4:$I$103,MATCH($A93,Scherpenzeel!$C$4:$C$103,0)),0))</f>
        <v>0</v>
      </c>
      <c r="J93" s="24" t="str">
        <f>IF($A93="","",IFERROR(INDEX('4'!$A$4:$A$103,MATCH($A93,'4'!$C$4:$C$103,0)),""))</f>
        <v/>
      </c>
      <c r="K93" s="15">
        <f>IF($A93="",0,IFERROR(INDEX('4'!$I$4:$I$103,MATCH($A93,'4'!$C$4:$C$103,0)),0))</f>
        <v>0</v>
      </c>
      <c r="L93" s="24" t="str">
        <f>IF($A93="","",IFERROR(INDEX('5'!$A$4:$A$103,MATCH($A93,'5'!$C$4:$C$103,0)),""))</f>
        <v/>
      </c>
      <c r="M93" s="15">
        <f>IF($A93="",0,IFERROR(INDEX('5'!$I$4:$I$103,MATCH($A93,'5'!$C$4:$C$103,0)),0))</f>
        <v>0</v>
      </c>
      <c r="N93" s="25" t="str">
        <f>IF($A93="","",E93+G93+I93+K93+M93)</f>
        <v/>
      </c>
      <c r="O93" s="26" t="str">
        <f>IF(OR($A93="",N93="",N93=0),"",RANK(N93,$N$4:$N$203,0))</f>
        <v/>
      </c>
      <c r="AA93" t="str">
        <f>Scherpenzeel!C28</f>
        <v>Dik van de Koolwijk</v>
      </c>
      <c r="AB93">
        <f>IF(AA93="",0,IF(COUNTIF($AA$1:AA93,AA93)=1,1,0))</f>
        <v>1</v>
      </c>
      <c r="AC93">
        <f>IF(AB93=1,COUNTIF($AB$1:AB93,1),"")</f>
        <v>59</v>
      </c>
    </row>
    <row r="94" spans="1:29" x14ac:dyDescent="0.25">
      <c r="A94" s="13" t="str">
        <f>IFERROR(INDEX($AA$1:$AA$368,MATCH(91,$AC$1:$AC$368,0)),"")</f>
        <v/>
      </c>
      <c r="B94" s="13" t="str">
        <f>IF($A94="","",IF(IFERROR(INDEX(Barneveld!$E$4:$E$36,MATCH($A94,Barneveld!$C$4:$C$36,0)),"")&lt;&gt;"",IFERROR(INDEX(Barneveld!$E$4:$E$36,MATCH($A94,Barneveld!$C$4:$C$36,0)),""),IF(IFERROR(INDEX(Baarn!$F$4:$F$38,MATCH($A94,Baarn!$C$4:$C$38,0)),"")&lt;&gt;"",IFERROR(INDEX(Baarn!$F$4:$F$38,MATCH($A94,Baarn!$C$4:$C$38,0)),""),IF(IFERROR(INDEX(Scherpenzeel!$F$4:$F$103,MATCH($A94,Scherpenzeel!$C$4:$C$103,0)),"")&lt;&gt;"",IFERROR(INDEX(Scherpenzeel!$F$4:$F$103,MATCH($A94,Scherpenzeel!$C$4:$C$103,0)),""),IF(IFERROR(INDEX('4'!$F$4:$F$103,MATCH($A94,'4'!$C$4:$C$103,0)),"")&lt;&gt;"",IFERROR(INDEX('4'!$F$4:$F$103,MATCH($A94,'4'!$C$4:$C$103,0)),""),IFERROR(INDEX('5'!$F$4:$F$103,MATCH($A94,'5'!$C$4:$C$103,0)),""))))))</f>
        <v/>
      </c>
      <c r="C94" s="13" t="str">
        <f>IF($A94="","",IF(IFERROR(INDEX(Barneveld!$D$4:$D$36,MATCH($A94,Barneveld!$C$4:$C$36,0)),"")&lt;&gt;"",IFERROR(INDEX(Barneveld!$D$4:$D$36,MATCH($A94,Barneveld!$C$4:$C$36,0)),""),IF(IFERROR(INDEX(Baarn!$E$4:$E$38,MATCH($A94,Baarn!$C$4:$C$38,0)),"")&lt;&gt;"",IFERROR(INDEX(Baarn!$E$4:$E$38,MATCH($A94,Baarn!$C$4:$C$38,0)),""),IF(IFERROR(INDEX(Scherpenzeel!$E$4:$E$103,MATCH($A94,Scherpenzeel!$C$4:$C$103,0)),"")&lt;&gt;"",IFERROR(INDEX(Scherpenzeel!$E$4:$E$103,MATCH($A94,Scherpenzeel!$C$4:$C$103,0)),""),IF(IFERROR(INDEX('4'!$E$4:$E$103,MATCH($A94,'4'!$C$4:$C$103,0)),"")&lt;&gt;"",IFERROR(INDEX('4'!$E$4:$E$103,MATCH($A94,'4'!$C$4:$C$103,0)),""),IFERROR(INDEX('5'!$E$4:$E$103,MATCH($A94,'5'!$C$4:$C$103,0)),""))))))</f>
        <v/>
      </c>
      <c r="D94" s="24" t="str">
        <f>IF($A94="","",IFERROR(INDEX(Barneveld!$A$4:$A$36,MATCH($A94,Barneveld!$C$4:$C$36,0)),""))</f>
        <v/>
      </c>
      <c r="E94" s="15">
        <f>IF($A94="",0,IFERROR(INDEX(Barneveld!$H$4:$H$36,MATCH($A94,Barneveld!$C$4:$C$36,0)),0))</f>
        <v>0</v>
      </c>
      <c r="F94" s="24" t="str">
        <f>IF($A94="","",IFERROR(INDEX(Baarn!$A$4:$A$38,MATCH($A94,Baarn!$C$4:$C$38,0)),""))</f>
        <v/>
      </c>
      <c r="G94" s="15">
        <f>IF($A94="",0,IFERROR(INDEX(Baarn!$I$4:$I$38,MATCH($A94,Baarn!$C$4:$C$38,0)),0))</f>
        <v>0</v>
      </c>
      <c r="H94" s="24" t="str">
        <f>IF($A94="","",IFERROR(INDEX(Scherpenzeel!$A$4:$A$103,MATCH($A94,Scherpenzeel!$C$4:$C$103,0)),""))</f>
        <v/>
      </c>
      <c r="I94" s="15">
        <f>IF($A94="",0,IFERROR(INDEX(Scherpenzeel!$I$4:$I$103,MATCH($A94,Scherpenzeel!$C$4:$C$103,0)),0))</f>
        <v>0</v>
      </c>
      <c r="J94" s="24" t="str">
        <f>IF($A94="","",IFERROR(INDEX('4'!$A$4:$A$103,MATCH($A94,'4'!$C$4:$C$103,0)),""))</f>
        <v/>
      </c>
      <c r="K94" s="15">
        <f>IF($A94="",0,IFERROR(INDEX('4'!$I$4:$I$103,MATCH($A94,'4'!$C$4:$C$103,0)),0))</f>
        <v>0</v>
      </c>
      <c r="L94" s="24" t="str">
        <f>IF($A94="","",IFERROR(INDEX('5'!$A$4:$A$103,MATCH($A94,'5'!$C$4:$C$103,0)),""))</f>
        <v/>
      </c>
      <c r="M94" s="15">
        <f>IF($A94="",0,IFERROR(INDEX('5'!$I$4:$I$103,MATCH($A94,'5'!$C$4:$C$103,0)),0))</f>
        <v>0</v>
      </c>
      <c r="N94" s="25" t="str">
        <f>IF($A94="","",E94+G94+I94+K94+M94)</f>
        <v/>
      </c>
      <c r="O94" s="26" t="str">
        <f>IF(OR($A94="",N94="",N94=0),"",RANK(N94,$N$4:$N$203,0))</f>
        <v/>
      </c>
      <c r="AA94" t="str">
        <f>Scherpenzeel!C29</f>
        <v>Marijn van Buren</v>
      </c>
      <c r="AB94">
        <f>IF(AA94="",0,IF(COUNTIF($AA$1:AA94,AA94)=1,1,0))</f>
        <v>1</v>
      </c>
      <c r="AC94">
        <f>IF(AB94=1,COUNTIF($AB$1:AB94,1),"")</f>
        <v>60</v>
      </c>
    </row>
    <row r="95" spans="1:29" x14ac:dyDescent="0.25">
      <c r="A95" s="13" t="str">
        <f>IFERROR(INDEX($AA$1:$AA$368,MATCH(92,$AC$1:$AC$368,0)),"")</f>
        <v/>
      </c>
      <c r="B95" s="13" t="str">
        <f>IF($A95="","",IF(IFERROR(INDEX(Barneveld!$E$4:$E$36,MATCH($A95,Barneveld!$C$4:$C$36,0)),"")&lt;&gt;"",IFERROR(INDEX(Barneveld!$E$4:$E$36,MATCH($A95,Barneveld!$C$4:$C$36,0)),""),IF(IFERROR(INDEX(Baarn!$F$4:$F$38,MATCH($A95,Baarn!$C$4:$C$38,0)),"")&lt;&gt;"",IFERROR(INDEX(Baarn!$F$4:$F$38,MATCH($A95,Baarn!$C$4:$C$38,0)),""),IF(IFERROR(INDEX(Scherpenzeel!$F$4:$F$103,MATCH($A95,Scherpenzeel!$C$4:$C$103,0)),"")&lt;&gt;"",IFERROR(INDEX(Scherpenzeel!$F$4:$F$103,MATCH($A95,Scherpenzeel!$C$4:$C$103,0)),""),IF(IFERROR(INDEX('4'!$F$4:$F$103,MATCH($A95,'4'!$C$4:$C$103,0)),"")&lt;&gt;"",IFERROR(INDEX('4'!$F$4:$F$103,MATCH($A95,'4'!$C$4:$C$103,0)),""),IFERROR(INDEX('5'!$F$4:$F$103,MATCH($A95,'5'!$C$4:$C$103,0)),""))))))</f>
        <v/>
      </c>
      <c r="C95" s="13" t="str">
        <f>IF($A95="","",IF(IFERROR(INDEX(Barneveld!$D$4:$D$36,MATCH($A95,Barneveld!$C$4:$C$36,0)),"")&lt;&gt;"",IFERROR(INDEX(Barneveld!$D$4:$D$36,MATCH($A95,Barneveld!$C$4:$C$36,0)),""),IF(IFERROR(INDEX(Baarn!$E$4:$E$38,MATCH($A95,Baarn!$C$4:$C$38,0)),"")&lt;&gt;"",IFERROR(INDEX(Baarn!$E$4:$E$38,MATCH($A95,Baarn!$C$4:$C$38,0)),""),IF(IFERROR(INDEX(Scherpenzeel!$E$4:$E$103,MATCH($A95,Scherpenzeel!$C$4:$C$103,0)),"")&lt;&gt;"",IFERROR(INDEX(Scherpenzeel!$E$4:$E$103,MATCH($A95,Scherpenzeel!$C$4:$C$103,0)),""),IF(IFERROR(INDEX('4'!$E$4:$E$103,MATCH($A95,'4'!$C$4:$C$103,0)),"")&lt;&gt;"",IFERROR(INDEX('4'!$E$4:$E$103,MATCH($A95,'4'!$C$4:$C$103,0)),""),IFERROR(INDEX('5'!$E$4:$E$103,MATCH($A95,'5'!$C$4:$C$103,0)),""))))))</f>
        <v/>
      </c>
      <c r="D95" s="24" t="str">
        <f>IF($A95="","",IFERROR(INDEX(Barneveld!$A$4:$A$36,MATCH($A95,Barneveld!$C$4:$C$36,0)),""))</f>
        <v/>
      </c>
      <c r="E95" s="15">
        <f>IF($A95="",0,IFERROR(INDEX(Barneveld!$H$4:$H$36,MATCH($A95,Barneveld!$C$4:$C$36,0)),0))</f>
        <v>0</v>
      </c>
      <c r="F95" s="24" t="str">
        <f>IF($A95="","",IFERROR(INDEX(Baarn!$A$4:$A$38,MATCH($A95,Baarn!$C$4:$C$38,0)),""))</f>
        <v/>
      </c>
      <c r="G95" s="15">
        <f>IF($A95="",0,IFERROR(INDEX(Baarn!$I$4:$I$38,MATCH($A95,Baarn!$C$4:$C$38,0)),0))</f>
        <v>0</v>
      </c>
      <c r="H95" s="24" t="str">
        <f>IF($A95="","",IFERROR(INDEX(Scherpenzeel!$A$4:$A$103,MATCH($A95,Scherpenzeel!$C$4:$C$103,0)),""))</f>
        <v/>
      </c>
      <c r="I95" s="15">
        <f>IF($A95="",0,IFERROR(INDEX(Scherpenzeel!$I$4:$I$103,MATCH($A95,Scherpenzeel!$C$4:$C$103,0)),0))</f>
        <v>0</v>
      </c>
      <c r="J95" s="24" t="str">
        <f>IF($A95="","",IFERROR(INDEX('4'!$A$4:$A$103,MATCH($A95,'4'!$C$4:$C$103,0)),""))</f>
        <v/>
      </c>
      <c r="K95" s="15">
        <f>IF($A95="",0,IFERROR(INDEX('4'!$I$4:$I$103,MATCH($A95,'4'!$C$4:$C$103,0)),0))</f>
        <v>0</v>
      </c>
      <c r="L95" s="24" t="str">
        <f>IF($A95="","",IFERROR(INDEX('5'!$A$4:$A$103,MATCH($A95,'5'!$C$4:$C$103,0)),""))</f>
        <v/>
      </c>
      <c r="M95" s="15">
        <f>IF($A95="",0,IFERROR(INDEX('5'!$I$4:$I$103,MATCH($A95,'5'!$C$4:$C$103,0)),0))</f>
        <v>0</v>
      </c>
      <c r="N95" s="25" t="str">
        <f>IF($A95="","",E95+G95+I95+K95+M95)</f>
        <v/>
      </c>
      <c r="O95" s="26" t="str">
        <f>IF(OR($A95="",N95="",N95=0),"",RANK(N95,$N$4:$N$203,0))</f>
        <v/>
      </c>
      <c r="AA95" t="str">
        <f>Scherpenzeel!C30</f>
        <v>Roan van de Steeg</v>
      </c>
      <c r="AB95">
        <f>IF(AA95="",0,IF(COUNTIF($AA$1:AA95,AA95)=1,1,0))</f>
        <v>1</v>
      </c>
      <c r="AC95">
        <f>IF(AB95=1,COUNTIF($AB$1:AB95,1),"")</f>
        <v>61</v>
      </c>
    </row>
    <row r="96" spans="1:29" x14ac:dyDescent="0.25">
      <c r="A96" s="13" t="str">
        <f>IFERROR(INDEX($AA$1:$AA$368,MATCH(93,$AC$1:$AC$368,0)),"")</f>
        <v/>
      </c>
      <c r="B96" s="13" t="str">
        <f>IF($A96="","",IF(IFERROR(INDEX(Barneveld!$E$4:$E$36,MATCH($A96,Barneveld!$C$4:$C$36,0)),"")&lt;&gt;"",IFERROR(INDEX(Barneveld!$E$4:$E$36,MATCH($A96,Barneveld!$C$4:$C$36,0)),""),IF(IFERROR(INDEX(Baarn!$F$4:$F$38,MATCH($A96,Baarn!$C$4:$C$38,0)),"")&lt;&gt;"",IFERROR(INDEX(Baarn!$F$4:$F$38,MATCH($A96,Baarn!$C$4:$C$38,0)),""),IF(IFERROR(INDEX(Scherpenzeel!$F$4:$F$103,MATCH($A96,Scherpenzeel!$C$4:$C$103,0)),"")&lt;&gt;"",IFERROR(INDEX(Scherpenzeel!$F$4:$F$103,MATCH($A96,Scherpenzeel!$C$4:$C$103,0)),""),IF(IFERROR(INDEX('4'!$F$4:$F$103,MATCH($A96,'4'!$C$4:$C$103,0)),"")&lt;&gt;"",IFERROR(INDEX('4'!$F$4:$F$103,MATCH($A96,'4'!$C$4:$C$103,0)),""),IFERROR(INDEX('5'!$F$4:$F$103,MATCH($A96,'5'!$C$4:$C$103,0)),""))))))</f>
        <v/>
      </c>
      <c r="C96" s="13" t="str">
        <f>IF($A96="","",IF(IFERROR(INDEX(Barneveld!$D$4:$D$36,MATCH($A96,Barneveld!$C$4:$C$36,0)),"")&lt;&gt;"",IFERROR(INDEX(Barneveld!$D$4:$D$36,MATCH($A96,Barneveld!$C$4:$C$36,0)),""),IF(IFERROR(INDEX(Baarn!$E$4:$E$38,MATCH($A96,Baarn!$C$4:$C$38,0)),"")&lt;&gt;"",IFERROR(INDEX(Baarn!$E$4:$E$38,MATCH($A96,Baarn!$C$4:$C$38,0)),""),IF(IFERROR(INDEX(Scherpenzeel!$E$4:$E$103,MATCH($A96,Scherpenzeel!$C$4:$C$103,0)),"")&lt;&gt;"",IFERROR(INDEX(Scherpenzeel!$E$4:$E$103,MATCH($A96,Scherpenzeel!$C$4:$C$103,0)),""),IF(IFERROR(INDEX('4'!$E$4:$E$103,MATCH($A96,'4'!$C$4:$C$103,0)),"")&lt;&gt;"",IFERROR(INDEX('4'!$E$4:$E$103,MATCH($A96,'4'!$C$4:$C$103,0)),""),IFERROR(INDEX('5'!$E$4:$E$103,MATCH($A96,'5'!$C$4:$C$103,0)),""))))))</f>
        <v/>
      </c>
      <c r="D96" s="24" t="str">
        <f>IF($A96="","",IFERROR(INDEX(Barneveld!$A$4:$A$36,MATCH($A96,Barneveld!$C$4:$C$36,0)),""))</f>
        <v/>
      </c>
      <c r="E96" s="15">
        <f>IF($A96="",0,IFERROR(INDEX(Barneveld!$H$4:$H$36,MATCH($A96,Barneveld!$C$4:$C$36,0)),0))</f>
        <v>0</v>
      </c>
      <c r="F96" s="24" t="str">
        <f>IF($A96="","",IFERROR(INDEX(Baarn!$A$4:$A$38,MATCH($A96,Baarn!$C$4:$C$38,0)),""))</f>
        <v/>
      </c>
      <c r="G96" s="15">
        <f>IF($A96="",0,IFERROR(INDEX(Baarn!$I$4:$I$38,MATCH($A96,Baarn!$C$4:$C$38,0)),0))</f>
        <v>0</v>
      </c>
      <c r="H96" s="24" t="str">
        <f>IF($A96="","",IFERROR(INDEX(Scherpenzeel!$A$4:$A$103,MATCH($A96,Scherpenzeel!$C$4:$C$103,0)),""))</f>
        <v/>
      </c>
      <c r="I96" s="15">
        <f>IF($A96="",0,IFERROR(INDEX(Scherpenzeel!$I$4:$I$103,MATCH($A96,Scherpenzeel!$C$4:$C$103,0)),0))</f>
        <v>0</v>
      </c>
      <c r="J96" s="24" t="str">
        <f>IF($A96="","",IFERROR(INDEX('4'!$A$4:$A$103,MATCH($A96,'4'!$C$4:$C$103,0)),""))</f>
        <v/>
      </c>
      <c r="K96" s="15">
        <f>IF($A96="",0,IFERROR(INDEX('4'!$I$4:$I$103,MATCH($A96,'4'!$C$4:$C$103,0)),0))</f>
        <v>0</v>
      </c>
      <c r="L96" s="24" t="str">
        <f>IF($A96="","",IFERROR(INDEX('5'!$A$4:$A$103,MATCH($A96,'5'!$C$4:$C$103,0)),""))</f>
        <v/>
      </c>
      <c r="M96" s="15">
        <f>IF($A96="",0,IFERROR(INDEX('5'!$I$4:$I$103,MATCH($A96,'5'!$C$4:$C$103,0)),0))</f>
        <v>0</v>
      </c>
      <c r="N96" s="25" t="str">
        <f>IF($A96="","",E96+G96+I96+K96+M96)</f>
        <v/>
      </c>
      <c r="O96" s="26" t="str">
        <f>IF(OR($A96="",N96="",N96=0),"",RANK(N96,$N$4:$N$203,0))</f>
        <v/>
      </c>
      <c r="AA96" t="str">
        <f>Scherpenzeel!C31</f>
        <v>Finn Bouwer</v>
      </c>
      <c r="AB96">
        <f>IF(AA96="",0,IF(COUNTIF($AA$1:AA96,AA96)=1,1,0))</f>
        <v>1</v>
      </c>
      <c r="AC96">
        <f>IF(AB96=1,COUNTIF($AB$1:AB96,1),"")</f>
        <v>62</v>
      </c>
    </row>
    <row r="97" spans="1:29" x14ac:dyDescent="0.25">
      <c r="A97" s="13" t="str">
        <f>IFERROR(INDEX($AA$1:$AA$368,MATCH(94,$AC$1:$AC$368,0)),"")</f>
        <v/>
      </c>
      <c r="B97" s="13" t="str">
        <f>IF($A97="","",IF(IFERROR(INDEX(Barneveld!$E$4:$E$36,MATCH($A97,Barneveld!$C$4:$C$36,0)),"")&lt;&gt;"",IFERROR(INDEX(Barneveld!$E$4:$E$36,MATCH($A97,Barneveld!$C$4:$C$36,0)),""),IF(IFERROR(INDEX(Baarn!$F$4:$F$38,MATCH($A97,Baarn!$C$4:$C$38,0)),"")&lt;&gt;"",IFERROR(INDEX(Baarn!$F$4:$F$38,MATCH($A97,Baarn!$C$4:$C$38,0)),""),IF(IFERROR(INDEX(Scherpenzeel!$F$4:$F$103,MATCH($A97,Scherpenzeel!$C$4:$C$103,0)),"")&lt;&gt;"",IFERROR(INDEX(Scherpenzeel!$F$4:$F$103,MATCH($A97,Scherpenzeel!$C$4:$C$103,0)),""),IF(IFERROR(INDEX('4'!$F$4:$F$103,MATCH($A97,'4'!$C$4:$C$103,0)),"")&lt;&gt;"",IFERROR(INDEX('4'!$F$4:$F$103,MATCH($A97,'4'!$C$4:$C$103,0)),""),IFERROR(INDEX('5'!$F$4:$F$103,MATCH($A97,'5'!$C$4:$C$103,0)),""))))))</f>
        <v/>
      </c>
      <c r="C97" s="13" t="str">
        <f>IF($A97="","",IF(IFERROR(INDEX(Barneveld!$D$4:$D$36,MATCH($A97,Barneveld!$C$4:$C$36,0)),"")&lt;&gt;"",IFERROR(INDEX(Barneveld!$D$4:$D$36,MATCH($A97,Barneveld!$C$4:$C$36,0)),""),IF(IFERROR(INDEX(Baarn!$E$4:$E$38,MATCH($A97,Baarn!$C$4:$C$38,0)),"")&lt;&gt;"",IFERROR(INDEX(Baarn!$E$4:$E$38,MATCH($A97,Baarn!$C$4:$C$38,0)),""),IF(IFERROR(INDEX(Scherpenzeel!$E$4:$E$103,MATCH($A97,Scherpenzeel!$C$4:$C$103,0)),"")&lt;&gt;"",IFERROR(INDEX(Scherpenzeel!$E$4:$E$103,MATCH($A97,Scherpenzeel!$C$4:$C$103,0)),""),IF(IFERROR(INDEX('4'!$E$4:$E$103,MATCH($A97,'4'!$C$4:$C$103,0)),"")&lt;&gt;"",IFERROR(INDEX('4'!$E$4:$E$103,MATCH($A97,'4'!$C$4:$C$103,0)),""),IFERROR(INDEX('5'!$E$4:$E$103,MATCH($A97,'5'!$C$4:$C$103,0)),""))))))</f>
        <v/>
      </c>
      <c r="D97" s="24" t="str">
        <f>IF($A97="","",IFERROR(INDEX(Barneveld!$A$4:$A$36,MATCH($A97,Barneveld!$C$4:$C$36,0)),""))</f>
        <v/>
      </c>
      <c r="E97" s="15">
        <f>IF($A97="",0,IFERROR(INDEX(Barneveld!$H$4:$H$36,MATCH($A97,Barneveld!$C$4:$C$36,0)),0))</f>
        <v>0</v>
      </c>
      <c r="F97" s="24" t="str">
        <f>IF($A97="","",IFERROR(INDEX(Baarn!$A$4:$A$38,MATCH($A97,Baarn!$C$4:$C$38,0)),""))</f>
        <v/>
      </c>
      <c r="G97" s="15">
        <f>IF($A97="",0,IFERROR(INDEX(Baarn!$I$4:$I$38,MATCH($A97,Baarn!$C$4:$C$38,0)),0))</f>
        <v>0</v>
      </c>
      <c r="H97" s="24" t="str">
        <f>IF($A97="","",IFERROR(INDEX(Scherpenzeel!$A$4:$A$103,MATCH($A97,Scherpenzeel!$C$4:$C$103,0)),""))</f>
        <v/>
      </c>
      <c r="I97" s="15">
        <f>IF($A97="",0,IFERROR(INDEX(Scherpenzeel!$I$4:$I$103,MATCH($A97,Scherpenzeel!$C$4:$C$103,0)),0))</f>
        <v>0</v>
      </c>
      <c r="J97" s="24" t="str">
        <f>IF($A97="","",IFERROR(INDEX('4'!$A$4:$A$103,MATCH($A97,'4'!$C$4:$C$103,0)),""))</f>
        <v/>
      </c>
      <c r="K97" s="15">
        <f>IF($A97="",0,IFERROR(INDEX('4'!$I$4:$I$103,MATCH($A97,'4'!$C$4:$C$103,0)),0))</f>
        <v>0</v>
      </c>
      <c r="L97" s="24" t="str">
        <f>IF($A97="","",IFERROR(INDEX('5'!$A$4:$A$103,MATCH($A97,'5'!$C$4:$C$103,0)),""))</f>
        <v/>
      </c>
      <c r="M97" s="15">
        <f>IF($A97="",0,IFERROR(INDEX('5'!$I$4:$I$103,MATCH($A97,'5'!$C$4:$C$103,0)),0))</f>
        <v>0</v>
      </c>
      <c r="N97" s="25" t="str">
        <f>IF($A97="","",E97+G97+I97+K97+M97)</f>
        <v/>
      </c>
      <c r="O97" s="26" t="str">
        <f>IF(OR($A97="",N97="",N97=0),"",RANK(N97,$N$4:$N$203,0))</f>
        <v/>
      </c>
      <c r="AA97" t="str">
        <f>Scherpenzeel!C32</f>
        <v>Deon Bergwerff</v>
      </c>
      <c r="AB97">
        <f>IF(AA97="",0,IF(COUNTIF($AA$1:AA97,AA97)=1,1,0))</f>
        <v>0</v>
      </c>
      <c r="AC97" t="str">
        <f>IF(AB97=1,COUNTIF($AB$1:AB97,1),"")</f>
        <v/>
      </c>
    </row>
    <row r="98" spans="1:29" x14ac:dyDescent="0.25">
      <c r="A98" s="13" t="str">
        <f>IFERROR(INDEX($AA$1:$AA$368,MATCH(95,$AC$1:$AC$368,0)),"")</f>
        <v/>
      </c>
      <c r="B98" s="13" t="str">
        <f>IF($A98="","",IF(IFERROR(INDEX(Barneveld!$E$4:$E$36,MATCH($A98,Barneveld!$C$4:$C$36,0)),"")&lt;&gt;"",IFERROR(INDEX(Barneveld!$E$4:$E$36,MATCH($A98,Barneveld!$C$4:$C$36,0)),""),IF(IFERROR(INDEX(Baarn!$F$4:$F$38,MATCH($A98,Baarn!$C$4:$C$38,0)),"")&lt;&gt;"",IFERROR(INDEX(Baarn!$F$4:$F$38,MATCH($A98,Baarn!$C$4:$C$38,0)),""),IF(IFERROR(INDEX(Scherpenzeel!$F$4:$F$103,MATCH($A98,Scherpenzeel!$C$4:$C$103,0)),"")&lt;&gt;"",IFERROR(INDEX(Scherpenzeel!$F$4:$F$103,MATCH($A98,Scherpenzeel!$C$4:$C$103,0)),""),IF(IFERROR(INDEX('4'!$F$4:$F$103,MATCH($A98,'4'!$C$4:$C$103,0)),"")&lt;&gt;"",IFERROR(INDEX('4'!$F$4:$F$103,MATCH($A98,'4'!$C$4:$C$103,0)),""),IFERROR(INDEX('5'!$F$4:$F$103,MATCH($A98,'5'!$C$4:$C$103,0)),""))))))</f>
        <v/>
      </c>
      <c r="C98" s="13" t="str">
        <f>IF($A98="","",IF(IFERROR(INDEX(Barneveld!$D$4:$D$36,MATCH($A98,Barneveld!$C$4:$C$36,0)),"")&lt;&gt;"",IFERROR(INDEX(Barneveld!$D$4:$D$36,MATCH($A98,Barneveld!$C$4:$C$36,0)),""),IF(IFERROR(INDEX(Baarn!$E$4:$E$38,MATCH($A98,Baarn!$C$4:$C$38,0)),"")&lt;&gt;"",IFERROR(INDEX(Baarn!$E$4:$E$38,MATCH($A98,Baarn!$C$4:$C$38,0)),""),IF(IFERROR(INDEX(Scherpenzeel!$E$4:$E$103,MATCH($A98,Scherpenzeel!$C$4:$C$103,0)),"")&lt;&gt;"",IFERROR(INDEX(Scherpenzeel!$E$4:$E$103,MATCH($A98,Scherpenzeel!$C$4:$C$103,0)),""),IF(IFERROR(INDEX('4'!$E$4:$E$103,MATCH($A98,'4'!$C$4:$C$103,0)),"")&lt;&gt;"",IFERROR(INDEX('4'!$E$4:$E$103,MATCH($A98,'4'!$C$4:$C$103,0)),""),IFERROR(INDEX('5'!$E$4:$E$103,MATCH($A98,'5'!$C$4:$C$103,0)),""))))))</f>
        <v/>
      </c>
      <c r="D98" s="24" t="str">
        <f>IF($A98="","",IFERROR(INDEX(Barneveld!$A$4:$A$36,MATCH($A98,Barneveld!$C$4:$C$36,0)),""))</f>
        <v/>
      </c>
      <c r="E98" s="15">
        <f>IF($A98="",0,IFERROR(INDEX(Barneveld!$H$4:$H$36,MATCH($A98,Barneveld!$C$4:$C$36,0)),0))</f>
        <v>0</v>
      </c>
      <c r="F98" s="24" t="str">
        <f>IF($A98="","",IFERROR(INDEX(Baarn!$A$4:$A$38,MATCH($A98,Baarn!$C$4:$C$38,0)),""))</f>
        <v/>
      </c>
      <c r="G98" s="15">
        <f>IF($A98="",0,IFERROR(INDEX(Baarn!$I$4:$I$38,MATCH($A98,Baarn!$C$4:$C$38,0)),0))</f>
        <v>0</v>
      </c>
      <c r="H98" s="24" t="str">
        <f>IF($A98="","",IFERROR(INDEX(Scherpenzeel!$A$4:$A$103,MATCH($A98,Scherpenzeel!$C$4:$C$103,0)),""))</f>
        <v/>
      </c>
      <c r="I98" s="15">
        <f>IF($A98="",0,IFERROR(INDEX(Scherpenzeel!$I$4:$I$103,MATCH($A98,Scherpenzeel!$C$4:$C$103,0)),0))</f>
        <v>0</v>
      </c>
      <c r="J98" s="24" t="str">
        <f>IF($A98="","",IFERROR(INDEX('4'!$A$4:$A$103,MATCH($A98,'4'!$C$4:$C$103,0)),""))</f>
        <v/>
      </c>
      <c r="K98" s="15">
        <f>IF($A98="",0,IFERROR(INDEX('4'!$I$4:$I$103,MATCH($A98,'4'!$C$4:$C$103,0)),0))</f>
        <v>0</v>
      </c>
      <c r="L98" s="24" t="str">
        <f>IF($A98="","",IFERROR(INDEX('5'!$A$4:$A$103,MATCH($A98,'5'!$C$4:$C$103,0)),""))</f>
        <v/>
      </c>
      <c r="M98" s="15">
        <f>IF($A98="",0,IFERROR(INDEX('5'!$I$4:$I$103,MATCH($A98,'5'!$C$4:$C$103,0)),0))</f>
        <v>0</v>
      </c>
      <c r="N98" s="25" t="str">
        <f>IF($A98="","",E98+G98+I98+K98+M98)</f>
        <v/>
      </c>
      <c r="O98" s="26" t="str">
        <f>IF(OR($A98="",N98="",N98=0),"",RANK(N98,$N$4:$N$203,0))</f>
        <v/>
      </c>
      <c r="AA98" t="str">
        <f>Scherpenzeel!C33</f>
        <v>Ruben Ubels</v>
      </c>
      <c r="AB98">
        <f>IF(AA98="",0,IF(COUNTIF($AA$1:AA98,AA98)=1,1,0))</f>
        <v>0</v>
      </c>
      <c r="AC98" t="str">
        <f>IF(AB98=1,COUNTIF($AB$1:AB98,1),"")</f>
        <v/>
      </c>
    </row>
    <row r="99" spans="1:29" x14ac:dyDescent="0.25">
      <c r="A99" s="13" t="str">
        <f>IFERROR(INDEX($AA$1:$AA$368,MATCH(96,$AC$1:$AC$368,0)),"")</f>
        <v/>
      </c>
      <c r="B99" s="13" t="str">
        <f>IF($A99="","",IF(IFERROR(INDEX(Barneveld!$E$4:$E$36,MATCH($A99,Barneveld!$C$4:$C$36,0)),"")&lt;&gt;"",IFERROR(INDEX(Barneveld!$E$4:$E$36,MATCH($A99,Barneveld!$C$4:$C$36,0)),""),IF(IFERROR(INDEX(Baarn!$F$4:$F$38,MATCH($A99,Baarn!$C$4:$C$38,0)),"")&lt;&gt;"",IFERROR(INDEX(Baarn!$F$4:$F$38,MATCH($A99,Baarn!$C$4:$C$38,0)),""),IF(IFERROR(INDEX(Scherpenzeel!$F$4:$F$103,MATCH($A99,Scherpenzeel!$C$4:$C$103,0)),"")&lt;&gt;"",IFERROR(INDEX(Scherpenzeel!$F$4:$F$103,MATCH($A99,Scherpenzeel!$C$4:$C$103,0)),""),IF(IFERROR(INDEX('4'!$F$4:$F$103,MATCH($A99,'4'!$C$4:$C$103,0)),"")&lt;&gt;"",IFERROR(INDEX('4'!$F$4:$F$103,MATCH($A99,'4'!$C$4:$C$103,0)),""),IFERROR(INDEX('5'!$F$4:$F$103,MATCH($A99,'5'!$C$4:$C$103,0)),""))))))</f>
        <v/>
      </c>
      <c r="C99" s="13" t="str">
        <f>IF($A99="","",IF(IFERROR(INDEX(Barneveld!$D$4:$D$36,MATCH($A99,Barneveld!$C$4:$C$36,0)),"")&lt;&gt;"",IFERROR(INDEX(Barneveld!$D$4:$D$36,MATCH($A99,Barneveld!$C$4:$C$36,0)),""),IF(IFERROR(INDEX(Baarn!$E$4:$E$38,MATCH($A99,Baarn!$C$4:$C$38,0)),"")&lt;&gt;"",IFERROR(INDEX(Baarn!$E$4:$E$38,MATCH($A99,Baarn!$C$4:$C$38,0)),""),IF(IFERROR(INDEX(Scherpenzeel!$E$4:$E$103,MATCH($A99,Scherpenzeel!$C$4:$C$103,0)),"")&lt;&gt;"",IFERROR(INDEX(Scherpenzeel!$E$4:$E$103,MATCH($A99,Scherpenzeel!$C$4:$C$103,0)),""),IF(IFERROR(INDEX('4'!$E$4:$E$103,MATCH($A99,'4'!$C$4:$C$103,0)),"")&lt;&gt;"",IFERROR(INDEX('4'!$E$4:$E$103,MATCH($A99,'4'!$C$4:$C$103,0)),""),IFERROR(INDEX('5'!$E$4:$E$103,MATCH($A99,'5'!$C$4:$C$103,0)),""))))))</f>
        <v/>
      </c>
      <c r="D99" s="24" t="str">
        <f>IF($A99="","",IFERROR(INDEX(Barneveld!$A$4:$A$36,MATCH($A99,Barneveld!$C$4:$C$36,0)),""))</f>
        <v/>
      </c>
      <c r="E99" s="15">
        <f>IF($A99="",0,IFERROR(INDEX(Barneveld!$H$4:$H$36,MATCH($A99,Barneveld!$C$4:$C$36,0)),0))</f>
        <v>0</v>
      </c>
      <c r="F99" s="24" t="str">
        <f>IF($A99="","",IFERROR(INDEX(Baarn!$A$4:$A$38,MATCH($A99,Baarn!$C$4:$C$38,0)),""))</f>
        <v/>
      </c>
      <c r="G99" s="15">
        <f>IF($A99="",0,IFERROR(INDEX(Baarn!$I$4:$I$38,MATCH($A99,Baarn!$C$4:$C$38,0)),0))</f>
        <v>0</v>
      </c>
      <c r="H99" s="24" t="str">
        <f>IF($A99="","",IFERROR(INDEX(Scherpenzeel!$A$4:$A$103,MATCH($A99,Scherpenzeel!$C$4:$C$103,0)),""))</f>
        <v/>
      </c>
      <c r="I99" s="15">
        <f>IF($A99="",0,IFERROR(INDEX(Scherpenzeel!$I$4:$I$103,MATCH($A99,Scherpenzeel!$C$4:$C$103,0)),0))</f>
        <v>0</v>
      </c>
      <c r="J99" s="24" t="str">
        <f>IF($A99="","",IFERROR(INDEX('4'!$A$4:$A$103,MATCH($A99,'4'!$C$4:$C$103,0)),""))</f>
        <v/>
      </c>
      <c r="K99" s="15">
        <f>IF($A99="",0,IFERROR(INDEX('4'!$I$4:$I$103,MATCH($A99,'4'!$C$4:$C$103,0)),0))</f>
        <v>0</v>
      </c>
      <c r="L99" s="24" t="str">
        <f>IF($A99="","",IFERROR(INDEX('5'!$A$4:$A$103,MATCH($A99,'5'!$C$4:$C$103,0)),""))</f>
        <v/>
      </c>
      <c r="M99" s="15">
        <f>IF($A99="",0,IFERROR(INDEX('5'!$I$4:$I$103,MATCH($A99,'5'!$C$4:$C$103,0)),0))</f>
        <v>0</v>
      </c>
      <c r="N99" s="25" t="str">
        <f>IF($A99="","",E99+G99+I99+K99+M99)</f>
        <v/>
      </c>
      <c r="O99" s="26" t="str">
        <f>IF(OR($A99="",N99="",N99=0),"",RANK(N99,$N$4:$N$203,0))</f>
        <v/>
      </c>
      <c r="AA99" t="str">
        <f>Scherpenzeel!C34</f>
        <v>Camiel Beuker</v>
      </c>
      <c r="AB99">
        <f>IF(AA99="",0,IF(COUNTIF($AA$1:AA99,AA99)=1,1,0))</f>
        <v>1</v>
      </c>
      <c r="AC99">
        <f>IF(AB99=1,COUNTIF($AB$1:AB99,1),"")</f>
        <v>63</v>
      </c>
    </row>
    <row r="100" spans="1:29" x14ac:dyDescent="0.25">
      <c r="A100" s="13" t="str">
        <f>IFERROR(INDEX($AA$1:$AA$368,MATCH(97,$AC$1:$AC$368,0)),"")</f>
        <v/>
      </c>
      <c r="B100" s="13" t="str">
        <f>IF($A100="","",IF(IFERROR(INDEX(Barneveld!$E$4:$E$36,MATCH($A100,Barneveld!$C$4:$C$36,0)),"")&lt;&gt;"",IFERROR(INDEX(Barneveld!$E$4:$E$36,MATCH($A100,Barneveld!$C$4:$C$36,0)),""),IF(IFERROR(INDEX(Baarn!$F$4:$F$38,MATCH($A100,Baarn!$C$4:$C$38,0)),"")&lt;&gt;"",IFERROR(INDEX(Baarn!$F$4:$F$38,MATCH($A100,Baarn!$C$4:$C$38,0)),""),IF(IFERROR(INDEX(Scherpenzeel!$F$4:$F$103,MATCH($A100,Scherpenzeel!$C$4:$C$103,0)),"")&lt;&gt;"",IFERROR(INDEX(Scherpenzeel!$F$4:$F$103,MATCH($A100,Scherpenzeel!$C$4:$C$103,0)),""),IF(IFERROR(INDEX('4'!$F$4:$F$103,MATCH($A100,'4'!$C$4:$C$103,0)),"")&lt;&gt;"",IFERROR(INDEX('4'!$F$4:$F$103,MATCH($A100,'4'!$C$4:$C$103,0)),""),IFERROR(INDEX('5'!$F$4:$F$103,MATCH($A100,'5'!$C$4:$C$103,0)),""))))))</f>
        <v/>
      </c>
      <c r="C100" s="13" t="str">
        <f>IF($A100="","",IF(IFERROR(INDEX(Barneveld!$D$4:$D$36,MATCH($A100,Barneveld!$C$4:$C$36,0)),"")&lt;&gt;"",IFERROR(INDEX(Barneveld!$D$4:$D$36,MATCH($A100,Barneveld!$C$4:$C$36,0)),""),IF(IFERROR(INDEX(Baarn!$E$4:$E$38,MATCH($A100,Baarn!$C$4:$C$38,0)),"")&lt;&gt;"",IFERROR(INDEX(Baarn!$E$4:$E$38,MATCH($A100,Baarn!$C$4:$C$38,0)),""),IF(IFERROR(INDEX(Scherpenzeel!$E$4:$E$103,MATCH($A100,Scherpenzeel!$C$4:$C$103,0)),"")&lt;&gt;"",IFERROR(INDEX(Scherpenzeel!$E$4:$E$103,MATCH($A100,Scherpenzeel!$C$4:$C$103,0)),""),IF(IFERROR(INDEX('4'!$E$4:$E$103,MATCH($A100,'4'!$C$4:$C$103,0)),"")&lt;&gt;"",IFERROR(INDEX('4'!$E$4:$E$103,MATCH($A100,'4'!$C$4:$C$103,0)),""),IFERROR(INDEX('5'!$E$4:$E$103,MATCH($A100,'5'!$C$4:$C$103,0)),""))))))</f>
        <v/>
      </c>
      <c r="D100" s="24" t="str">
        <f>IF($A100="","",IFERROR(INDEX(Barneveld!$A$4:$A$36,MATCH($A100,Barneveld!$C$4:$C$36,0)),""))</f>
        <v/>
      </c>
      <c r="E100" s="15">
        <f>IF($A100="",0,IFERROR(INDEX(Barneveld!$H$4:$H$36,MATCH($A100,Barneveld!$C$4:$C$36,0)),0))</f>
        <v>0</v>
      </c>
      <c r="F100" s="24" t="str">
        <f>IF($A100="","",IFERROR(INDEX(Baarn!$A$4:$A$38,MATCH($A100,Baarn!$C$4:$C$38,0)),""))</f>
        <v/>
      </c>
      <c r="G100" s="15">
        <f>IF($A100="",0,IFERROR(INDEX(Baarn!$I$4:$I$38,MATCH($A100,Baarn!$C$4:$C$38,0)),0))</f>
        <v>0</v>
      </c>
      <c r="H100" s="24" t="str">
        <f>IF($A100="","",IFERROR(INDEX(Scherpenzeel!$A$4:$A$103,MATCH($A100,Scherpenzeel!$C$4:$C$103,0)),""))</f>
        <v/>
      </c>
      <c r="I100" s="15">
        <f>IF($A100="",0,IFERROR(INDEX(Scherpenzeel!$I$4:$I$103,MATCH($A100,Scherpenzeel!$C$4:$C$103,0)),0))</f>
        <v>0</v>
      </c>
      <c r="J100" s="24" t="str">
        <f>IF($A100="","",IFERROR(INDEX('4'!$A$4:$A$103,MATCH($A100,'4'!$C$4:$C$103,0)),""))</f>
        <v/>
      </c>
      <c r="K100" s="15">
        <f>IF($A100="",0,IFERROR(INDEX('4'!$I$4:$I$103,MATCH($A100,'4'!$C$4:$C$103,0)),0))</f>
        <v>0</v>
      </c>
      <c r="L100" s="24" t="str">
        <f>IF($A100="","",IFERROR(INDEX('5'!$A$4:$A$103,MATCH($A100,'5'!$C$4:$C$103,0)),""))</f>
        <v/>
      </c>
      <c r="M100" s="15">
        <f>IF($A100="",0,IFERROR(INDEX('5'!$I$4:$I$103,MATCH($A100,'5'!$C$4:$C$103,0)),0))</f>
        <v>0</v>
      </c>
      <c r="N100" s="25" t="str">
        <f>IF($A100="","",E100+G100+I100+K100+M100)</f>
        <v/>
      </c>
      <c r="O100" s="26" t="str">
        <f>IF(OR($A100="",N100="",N100=0),"",RANK(N100,$N$4:$N$203,0))</f>
        <v/>
      </c>
      <c r="AA100" t="str">
        <f>Scherpenzeel!C35</f>
        <v>Freek Valkonet</v>
      </c>
      <c r="AB100">
        <f>IF(AA100="",0,IF(COUNTIF($AA$1:AA100,AA100)=1,1,0))</f>
        <v>0</v>
      </c>
      <c r="AC100" t="str">
        <f>IF(AB100=1,COUNTIF($AB$1:AB100,1),"")</f>
        <v/>
      </c>
    </row>
    <row r="101" spans="1:29" x14ac:dyDescent="0.25">
      <c r="A101" s="13" t="str">
        <f>IFERROR(INDEX($AA$1:$AA$368,MATCH(98,$AC$1:$AC$368,0)),"")</f>
        <v/>
      </c>
      <c r="B101" s="13" t="str">
        <f>IF($A101="","",IF(IFERROR(INDEX(Barneveld!$E$4:$E$36,MATCH($A101,Barneveld!$C$4:$C$36,0)),"")&lt;&gt;"",IFERROR(INDEX(Barneveld!$E$4:$E$36,MATCH($A101,Barneveld!$C$4:$C$36,0)),""),IF(IFERROR(INDEX(Baarn!$F$4:$F$38,MATCH($A101,Baarn!$C$4:$C$38,0)),"")&lt;&gt;"",IFERROR(INDEX(Baarn!$F$4:$F$38,MATCH($A101,Baarn!$C$4:$C$38,0)),""),IF(IFERROR(INDEX(Scherpenzeel!$F$4:$F$103,MATCH($A101,Scherpenzeel!$C$4:$C$103,0)),"")&lt;&gt;"",IFERROR(INDEX(Scherpenzeel!$F$4:$F$103,MATCH($A101,Scherpenzeel!$C$4:$C$103,0)),""),IF(IFERROR(INDEX('4'!$F$4:$F$103,MATCH($A101,'4'!$C$4:$C$103,0)),"")&lt;&gt;"",IFERROR(INDEX('4'!$F$4:$F$103,MATCH($A101,'4'!$C$4:$C$103,0)),""),IFERROR(INDEX('5'!$F$4:$F$103,MATCH($A101,'5'!$C$4:$C$103,0)),""))))))</f>
        <v/>
      </c>
      <c r="C101" s="13" t="str">
        <f>IF($A101="","",IF(IFERROR(INDEX(Barneveld!$D$4:$D$36,MATCH($A101,Barneveld!$C$4:$C$36,0)),"")&lt;&gt;"",IFERROR(INDEX(Barneveld!$D$4:$D$36,MATCH($A101,Barneveld!$C$4:$C$36,0)),""),IF(IFERROR(INDEX(Baarn!$E$4:$E$38,MATCH($A101,Baarn!$C$4:$C$38,0)),"")&lt;&gt;"",IFERROR(INDEX(Baarn!$E$4:$E$38,MATCH($A101,Baarn!$C$4:$C$38,0)),""),IF(IFERROR(INDEX(Scherpenzeel!$E$4:$E$103,MATCH($A101,Scherpenzeel!$C$4:$C$103,0)),"")&lt;&gt;"",IFERROR(INDEX(Scherpenzeel!$E$4:$E$103,MATCH($A101,Scherpenzeel!$C$4:$C$103,0)),""),IF(IFERROR(INDEX('4'!$E$4:$E$103,MATCH($A101,'4'!$C$4:$C$103,0)),"")&lt;&gt;"",IFERROR(INDEX('4'!$E$4:$E$103,MATCH($A101,'4'!$C$4:$C$103,0)),""),IFERROR(INDEX('5'!$E$4:$E$103,MATCH($A101,'5'!$C$4:$C$103,0)),""))))))</f>
        <v/>
      </c>
      <c r="D101" s="24" t="str">
        <f>IF($A101="","",IFERROR(INDEX(Barneveld!$A$4:$A$36,MATCH($A101,Barneveld!$C$4:$C$36,0)),""))</f>
        <v/>
      </c>
      <c r="E101" s="15">
        <f>IF($A101="",0,IFERROR(INDEX(Barneveld!$H$4:$H$36,MATCH($A101,Barneveld!$C$4:$C$36,0)),0))</f>
        <v>0</v>
      </c>
      <c r="F101" s="24" t="str">
        <f>IF($A101="","",IFERROR(INDEX(Baarn!$A$4:$A$38,MATCH($A101,Baarn!$C$4:$C$38,0)),""))</f>
        <v/>
      </c>
      <c r="G101" s="15">
        <f>IF($A101="",0,IFERROR(INDEX(Baarn!$I$4:$I$38,MATCH($A101,Baarn!$C$4:$C$38,0)),0))</f>
        <v>0</v>
      </c>
      <c r="H101" s="24" t="str">
        <f>IF($A101="","",IFERROR(INDEX(Scherpenzeel!$A$4:$A$103,MATCH($A101,Scherpenzeel!$C$4:$C$103,0)),""))</f>
        <v/>
      </c>
      <c r="I101" s="15">
        <f>IF($A101="",0,IFERROR(INDEX(Scherpenzeel!$I$4:$I$103,MATCH($A101,Scherpenzeel!$C$4:$C$103,0)),0))</f>
        <v>0</v>
      </c>
      <c r="J101" s="24" t="str">
        <f>IF($A101="","",IFERROR(INDEX('4'!$A$4:$A$103,MATCH($A101,'4'!$C$4:$C$103,0)),""))</f>
        <v/>
      </c>
      <c r="K101" s="15">
        <f>IF($A101="",0,IFERROR(INDEX('4'!$I$4:$I$103,MATCH($A101,'4'!$C$4:$C$103,0)),0))</f>
        <v>0</v>
      </c>
      <c r="L101" s="24" t="str">
        <f>IF($A101="","",IFERROR(INDEX('5'!$A$4:$A$103,MATCH($A101,'5'!$C$4:$C$103,0)),""))</f>
        <v/>
      </c>
      <c r="M101" s="15">
        <f>IF($A101="",0,IFERROR(INDEX('5'!$I$4:$I$103,MATCH($A101,'5'!$C$4:$C$103,0)),0))</f>
        <v>0</v>
      </c>
      <c r="N101" s="25" t="str">
        <f>IF($A101="","",E101+G101+I101+K101+M101)</f>
        <v/>
      </c>
      <c r="O101" s="26" t="str">
        <f>IF(OR($A101="",N101="",N101=0),"",RANK(N101,$N$4:$N$203,0))</f>
        <v/>
      </c>
      <c r="AA101" t="str">
        <f>Scherpenzeel!C36</f>
        <v>Rick Schuurman</v>
      </c>
      <c r="AB101">
        <f>IF(AA101="",0,IF(COUNTIF($AA$1:AA101,AA101)=1,1,0))</f>
        <v>1</v>
      </c>
      <c r="AC101">
        <f>IF(AB101=1,COUNTIF($AB$1:AB101,1),"")</f>
        <v>64</v>
      </c>
    </row>
    <row r="102" spans="1:29" x14ac:dyDescent="0.25">
      <c r="A102" s="13" t="str">
        <f>IFERROR(INDEX($AA$1:$AA$368,MATCH(99,$AC$1:$AC$368,0)),"")</f>
        <v/>
      </c>
      <c r="B102" s="13" t="str">
        <f>IF($A102="","",IF(IFERROR(INDEX(Barneveld!$E$4:$E$36,MATCH($A102,Barneveld!$C$4:$C$36,0)),"")&lt;&gt;"",IFERROR(INDEX(Barneveld!$E$4:$E$36,MATCH($A102,Barneveld!$C$4:$C$36,0)),""),IF(IFERROR(INDEX(Baarn!$F$4:$F$38,MATCH($A102,Baarn!$C$4:$C$38,0)),"")&lt;&gt;"",IFERROR(INDEX(Baarn!$F$4:$F$38,MATCH($A102,Baarn!$C$4:$C$38,0)),""),IF(IFERROR(INDEX(Scherpenzeel!$F$4:$F$103,MATCH($A102,Scherpenzeel!$C$4:$C$103,0)),"")&lt;&gt;"",IFERROR(INDEX(Scherpenzeel!$F$4:$F$103,MATCH($A102,Scherpenzeel!$C$4:$C$103,0)),""),IF(IFERROR(INDEX('4'!$F$4:$F$103,MATCH($A102,'4'!$C$4:$C$103,0)),"")&lt;&gt;"",IFERROR(INDEX('4'!$F$4:$F$103,MATCH($A102,'4'!$C$4:$C$103,0)),""),IFERROR(INDEX('5'!$F$4:$F$103,MATCH($A102,'5'!$C$4:$C$103,0)),""))))))</f>
        <v/>
      </c>
      <c r="C102" s="13" t="str">
        <f>IF($A102="","",IF(IFERROR(INDEX(Barneveld!$D$4:$D$36,MATCH($A102,Barneveld!$C$4:$C$36,0)),"")&lt;&gt;"",IFERROR(INDEX(Barneveld!$D$4:$D$36,MATCH($A102,Barneveld!$C$4:$C$36,0)),""),IF(IFERROR(INDEX(Baarn!$E$4:$E$38,MATCH($A102,Baarn!$C$4:$C$38,0)),"")&lt;&gt;"",IFERROR(INDEX(Baarn!$E$4:$E$38,MATCH($A102,Baarn!$C$4:$C$38,0)),""),IF(IFERROR(INDEX(Scherpenzeel!$E$4:$E$103,MATCH($A102,Scherpenzeel!$C$4:$C$103,0)),"")&lt;&gt;"",IFERROR(INDEX(Scherpenzeel!$E$4:$E$103,MATCH($A102,Scherpenzeel!$C$4:$C$103,0)),""),IF(IFERROR(INDEX('4'!$E$4:$E$103,MATCH($A102,'4'!$C$4:$C$103,0)),"")&lt;&gt;"",IFERROR(INDEX('4'!$E$4:$E$103,MATCH($A102,'4'!$C$4:$C$103,0)),""),IFERROR(INDEX('5'!$E$4:$E$103,MATCH($A102,'5'!$C$4:$C$103,0)),""))))))</f>
        <v/>
      </c>
      <c r="D102" s="24" t="str">
        <f>IF($A102="","",IFERROR(INDEX(Barneveld!$A$4:$A$36,MATCH($A102,Barneveld!$C$4:$C$36,0)),""))</f>
        <v/>
      </c>
      <c r="E102" s="15">
        <f>IF($A102="",0,IFERROR(INDEX(Barneveld!$H$4:$H$36,MATCH($A102,Barneveld!$C$4:$C$36,0)),0))</f>
        <v>0</v>
      </c>
      <c r="F102" s="24" t="str">
        <f>IF($A102="","",IFERROR(INDEX(Baarn!$A$4:$A$38,MATCH($A102,Baarn!$C$4:$C$38,0)),""))</f>
        <v/>
      </c>
      <c r="G102" s="15">
        <f>IF($A102="",0,IFERROR(INDEX(Baarn!$I$4:$I$38,MATCH($A102,Baarn!$C$4:$C$38,0)),0))</f>
        <v>0</v>
      </c>
      <c r="H102" s="24" t="str">
        <f>IF($A102="","",IFERROR(INDEX(Scherpenzeel!$A$4:$A$103,MATCH($A102,Scherpenzeel!$C$4:$C$103,0)),""))</f>
        <v/>
      </c>
      <c r="I102" s="15">
        <f>IF($A102="",0,IFERROR(INDEX(Scherpenzeel!$I$4:$I$103,MATCH($A102,Scherpenzeel!$C$4:$C$103,0)),0))</f>
        <v>0</v>
      </c>
      <c r="J102" s="24" t="str">
        <f>IF($A102="","",IFERROR(INDEX('4'!$A$4:$A$103,MATCH($A102,'4'!$C$4:$C$103,0)),""))</f>
        <v/>
      </c>
      <c r="K102" s="15">
        <f>IF($A102="",0,IFERROR(INDEX('4'!$I$4:$I$103,MATCH($A102,'4'!$C$4:$C$103,0)),0))</f>
        <v>0</v>
      </c>
      <c r="L102" s="24" t="str">
        <f>IF($A102="","",IFERROR(INDEX('5'!$A$4:$A$103,MATCH($A102,'5'!$C$4:$C$103,0)),""))</f>
        <v/>
      </c>
      <c r="M102" s="15">
        <f>IF($A102="",0,IFERROR(INDEX('5'!$I$4:$I$103,MATCH($A102,'5'!$C$4:$C$103,0)),0))</f>
        <v>0</v>
      </c>
      <c r="N102" s="25" t="str">
        <f>IF($A102="","",E102+G102+I102+K102+M102)</f>
        <v/>
      </c>
      <c r="O102" s="26" t="str">
        <f>IF(OR($A102="",N102="",N102=0),"",RANK(N102,$N$4:$N$203,0))</f>
        <v/>
      </c>
      <c r="AA102" t="str">
        <f>Scherpenzeel!C37</f>
        <v>Jaap Mekenkamp</v>
      </c>
      <c r="AB102">
        <f>IF(AA102="",0,IF(COUNTIF($AA$1:AA102,AA102)=1,1,0))</f>
        <v>0</v>
      </c>
      <c r="AC102" t="str">
        <f>IF(AB102=1,COUNTIF($AB$1:AB102,1),"")</f>
        <v/>
      </c>
    </row>
    <row r="103" spans="1:29" x14ac:dyDescent="0.25">
      <c r="A103" s="13" t="str">
        <f>IFERROR(INDEX($AA$1:$AA$368,MATCH(100,$AC$1:$AC$368,0)),"")</f>
        <v/>
      </c>
      <c r="B103" s="13" t="str">
        <f>IF($A103="","",IF(IFERROR(INDEX(Barneveld!$E$4:$E$36,MATCH($A103,Barneveld!$C$4:$C$36,0)),"")&lt;&gt;"",IFERROR(INDEX(Barneveld!$E$4:$E$36,MATCH($A103,Barneveld!$C$4:$C$36,0)),""),IF(IFERROR(INDEX(Baarn!$F$4:$F$38,MATCH($A103,Baarn!$C$4:$C$38,0)),"")&lt;&gt;"",IFERROR(INDEX(Baarn!$F$4:$F$38,MATCH($A103,Baarn!$C$4:$C$38,0)),""),IF(IFERROR(INDEX(Scherpenzeel!$F$4:$F$103,MATCH($A103,Scherpenzeel!$C$4:$C$103,0)),"")&lt;&gt;"",IFERROR(INDEX(Scherpenzeel!$F$4:$F$103,MATCH($A103,Scherpenzeel!$C$4:$C$103,0)),""),IF(IFERROR(INDEX('4'!$F$4:$F$103,MATCH($A103,'4'!$C$4:$C$103,0)),"")&lt;&gt;"",IFERROR(INDEX('4'!$F$4:$F$103,MATCH($A103,'4'!$C$4:$C$103,0)),""),IFERROR(INDEX('5'!$F$4:$F$103,MATCH($A103,'5'!$C$4:$C$103,0)),""))))))</f>
        <v/>
      </c>
      <c r="C103" s="13" t="str">
        <f>IF($A103="","",IF(IFERROR(INDEX(Barneveld!$D$4:$D$36,MATCH($A103,Barneveld!$C$4:$C$36,0)),"")&lt;&gt;"",IFERROR(INDEX(Barneveld!$D$4:$D$36,MATCH($A103,Barneveld!$C$4:$C$36,0)),""),IF(IFERROR(INDEX(Baarn!$E$4:$E$38,MATCH($A103,Baarn!$C$4:$C$38,0)),"")&lt;&gt;"",IFERROR(INDEX(Baarn!$E$4:$E$38,MATCH($A103,Baarn!$C$4:$C$38,0)),""),IF(IFERROR(INDEX(Scherpenzeel!$E$4:$E$103,MATCH($A103,Scherpenzeel!$C$4:$C$103,0)),"")&lt;&gt;"",IFERROR(INDEX(Scherpenzeel!$E$4:$E$103,MATCH($A103,Scherpenzeel!$C$4:$C$103,0)),""),IF(IFERROR(INDEX('4'!$E$4:$E$103,MATCH($A103,'4'!$C$4:$C$103,0)),"")&lt;&gt;"",IFERROR(INDEX('4'!$E$4:$E$103,MATCH($A103,'4'!$C$4:$C$103,0)),""),IFERROR(INDEX('5'!$E$4:$E$103,MATCH($A103,'5'!$C$4:$C$103,0)),""))))))</f>
        <v/>
      </c>
      <c r="D103" s="24" t="str">
        <f>IF($A103="","",IFERROR(INDEX(Barneveld!$A$4:$A$36,MATCH($A103,Barneveld!$C$4:$C$36,0)),""))</f>
        <v/>
      </c>
      <c r="E103" s="15">
        <f>IF($A103="",0,IFERROR(INDEX(Barneveld!$H$4:$H$36,MATCH($A103,Barneveld!$C$4:$C$36,0)),0))</f>
        <v>0</v>
      </c>
      <c r="F103" s="24" t="str">
        <f>IF($A103="","",IFERROR(INDEX(Baarn!$A$4:$A$38,MATCH($A103,Baarn!$C$4:$C$38,0)),""))</f>
        <v/>
      </c>
      <c r="G103" s="15">
        <f>IF($A103="",0,IFERROR(INDEX(Baarn!$I$4:$I$38,MATCH($A103,Baarn!$C$4:$C$38,0)),0))</f>
        <v>0</v>
      </c>
      <c r="H103" s="24" t="str">
        <f>IF($A103="","",IFERROR(INDEX(Scherpenzeel!$A$4:$A$103,MATCH($A103,Scherpenzeel!$C$4:$C$103,0)),""))</f>
        <v/>
      </c>
      <c r="I103" s="15">
        <f>IF($A103="",0,IFERROR(INDEX(Scherpenzeel!$I$4:$I$103,MATCH($A103,Scherpenzeel!$C$4:$C$103,0)),0))</f>
        <v>0</v>
      </c>
      <c r="J103" s="24" t="str">
        <f>IF($A103="","",IFERROR(INDEX('4'!$A$4:$A$103,MATCH($A103,'4'!$C$4:$C$103,0)),""))</f>
        <v/>
      </c>
      <c r="K103" s="15">
        <f>IF($A103="",0,IFERROR(INDEX('4'!$I$4:$I$103,MATCH($A103,'4'!$C$4:$C$103,0)),0))</f>
        <v>0</v>
      </c>
      <c r="L103" s="24" t="str">
        <f>IF($A103="","",IFERROR(INDEX('5'!$A$4:$A$103,MATCH($A103,'5'!$C$4:$C$103,0)),""))</f>
        <v/>
      </c>
      <c r="M103" s="15">
        <f>IF($A103="",0,IFERROR(INDEX('5'!$I$4:$I$103,MATCH($A103,'5'!$C$4:$C$103,0)),0))</f>
        <v>0</v>
      </c>
      <c r="N103" s="25" t="str">
        <f>IF($A103="","",E103+G103+I103+K103+M103)</f>
        <v/>
      </c>
      <c r="O103" s="26" t="str">
        <f>IF(OR($A103="",N103="",N103=0),"",RANK(N103,$N$4:$N$203,0))</f>
        <v/>
      </c>
      <c r="AA103" t="str">
        <f>Scherpenzeel!C38</f>
        <v>Erwin van Leijen</v>
      </c>
      <c r="AB103">
        <f>IF(AA103="",0,IF(COUNTIF($AA$1:AA103,AA103)=1,1,0))</f>
        <v>0</v>
      </c>
      <c r="AC103" t="str">
        <f>IF(AB103=1,COUNTIF($AB$1:AB103,1),"")</f>
        <v/>
      </c>
    </row>
    <row r="104" spans="1:29" x14ac:dyDescent="0.25">
      <c r="A104" s="13" t="str">
        <f>IFERROR(INDEX($AA$1:$AA$368,MATCH(101,$AC$1:$AC$368,0)),"")</f>
        <v/>
      </c>
      <c r="B104" s="13" t="str">
        <f>IF($A104="","",IF(IFERROR(INDEX(Barneveld!$E$4:$E$36,MATCH($A104,Barneveld!$C$4:$C$36,0)),"")&lt;&gt;"",IFERROR(INDEX(Barneveld!$E$4:$E$36,MATCH($A104,Barneveld!$C$4:$C$36,0)),""),IF(IFERROR(INDEX(Baarn!$F$4:$F$38,MATCH($A104,Baarn!$C$4:$C$38,0)),"")&lt;&gt;"",IFERROR(INDEX(Baarn!$F$4:$F$38,MATCH($A104,Baarn!$C$4:$C$38,0)),""),IF(IFERROR(INDEX(Scherpenzeel!$F$4:$F$103,MATCH($A104,Scherpenzeel!$C$4:$C$103,0)),"")&lt;&gt;"",IFERROR(INDEX(Scherpenzeel!$F$4:$F$103,MATCH($A104,Scherpenzeel!$C$4:$C$103,0)),""),IF(IFERROR(INDEX('4'!$F$4:$F$103,MATCH($A104,'4'!$C$4:$C$103,0)),"")&lt;&gt;"",IFERROR(INDEX('4'!$F$4:$F$103,MATCH($A104,'4'!$C$4:$C$103,0)),""),IFERROR(INDEX('5'!$F$4:$F$103,MATCH($A104,'5'!$C$4:$C$103,0)),""))))))</f>
        <v/>
      </c>
      <c r="C104" s="13" t="str">
        <f>IF($A104="","",IF(IFERROR(INDEX(Barneveld!$D$4:$D$36,MATCH($A104,Barneveld!$C$4:$C$36,0)),"")&lt;&gt;"",IFERROR(INDEX(Barneveld!$D$4:$D$36,MATCH($A104,Barneveld!$C$4:$C$36,0)),""),IF(IFERROR(INDEX(Baarn!$E$4:$E$38,MATCH($A104,Baarn!$C$4:$C$38,0)),"")&lt;&gt;"",IFERROR(INDEX(Baarn!$E$4:$E$38,MATCH($A104,Baarn!$C$4:$C$38,0)),""),IF(IFERROR(INDEX(Scherpenzeel!$E$4:$E$103,MATCH($A104,Scherpenzeel!$C$4:$C$103,0)),"")&lt;&gt;"",IFERROR(INDEX(Scherpenzeel!$E$4:$E$103,MATCH($A104,Scherpenzeel!$C$4:$C$103,0)),""),IF(IFERROR(INDEX('4'!$E$4:$E$103,MATCH($A104,'4'!$C$4:$C$103,0)),"")&lt;&gt;"",IFERROR(INDEX('4'!$E$4:$E$103,MATCH($A104,'4'!$C$4:$C$103,0)),""),IFERROR(INDEX('5'!$E$4:$E$103,MATCH($A104,'5'!$C$4:$C$103,0)),""))))))</f>
        <v/>
      </c>
      <c r="D104" s="24" t="str">
        <f>IF($A104="","",IFERROR(INDEX(Barneveld!$A$4:$A$36,MATCH($A104,Barneveld!$C$4:$C$36,0)),""))</f>
        <v/>
      </c>
      <c r="E104" s="15">
        <f>IF($A104="",0,IFERROR(INDEX(Barneveld!$H$4:$H$36,MATCH($A104,Barneveld!$C$4:$C$36,0)),0))</f>
        <v>0</v>
      </c>
      <c r="F104" s="24" t="str">
        <f>IF($A104="","",IFERROR(INDEX(Baarn!$A$4:$A$38,MATCH($A104,Baarn!$C$4:$C$38,0)),""))</f>
        <v/>
      </c>
      <c r="G104" s="15">
        <f>IF($A104="",0,IFERROR(INDEX(Baarn!$I$4:$I$38,MATCH($A104,Baarn!$C$4:$C$38,0)),0))</f>
        <v>0</v>
      </c>
      <c r="H104" s="24" t="str">
        <f>IF($A104="","",IFERROR(INDEX(Scherpenzeel!$A$4:$A$103,MATCH($A104,Scherpenzeel!$C$4:$C$103,0)),""))</f>
        <v/>
      </c>
      <c r="I104" s="15">
        <f>IF($A104="",0,IFERROR(INDEX(Scherpenzeel!$I$4:$I$103,MATCH($A104,Scherpenzeel!$C$4:$C$103,0)),0))</f>
        <v>0</v>
      </c>
      <c r="J104" s="24" t="str">
        <f>IF($A104="","",IFERROR(INDEX('4'!$A$4:$A$103,MATCH($A104,'4'!$C$4:$C$103,0)),""))</f>
        <v/>
      </c>
      <c r="K104" s="15">
        <f>IF($A104="",0,IFERROR(INDEX('4'!$I$4:$I$103,MATCH($A104,'4'!$C$4:$C$103,0)),0))</f>
        <v>0</v>
      </c>
      <c r="L104" s="24" t="str">
        <f>IF($A104="","",IFERROR(INDEX('5'!$A$4:$A$103,MATCH($A104,'5'!$C$4:$C$103,0)),""))</f>
        <v/>
      </c>
      <c r="M104" s="15">
        <f>IF($A104="",0,IFERROR(INDEX('5'!$I$4:$I$103,MATCH($A104,'5'!$C$4:$C$103,0)),0))</f>
        <v>0</v>
      </c>
      <c r="N104" s="25" t="str">
        <f>IF($A104="","",E104+G104+I104+K104+M104)</f>
        <v/>
      </c>
      <c r="O104" s="26" t="str">
        <f>IF(OR($A104="",N104="",N104=0),"",RANK(N104,$N$4:$N$203,0))</f>
        <v/>
      </c>
      <c r="AA104" t="str">
        <f>Scherpenzeel!C39</f>
        <v>Marc Borst</v>
      </c>
      <c r="AB104">
        <f>IF(AA104="",0,IF(COUNTIF($AA$1:AA104,AA104)=1,1,0))</f>
        <v>1</v>
      </c>
      <c r="AC104">
        <f>IF(AB104=1,COUNTIF($AB$1:AB104,1),"")</f>
        <v>65</v>
      </c>
    </row>
    <row r="105" spans="1:29" x14ac:dyDescent="0.25">
      <c r="A105" s="13" t="str">
        <f>IFERROR(INDEX($AA$1:$AA$368,MATCH(102,$AC$1:$AC$368,0)),"")</f>
        <v/>
      </c>
      <c r="B105" s="13" t="str">
        <f>IF($A105="","",IF(IFERROR(INDEX(Barneveld!$E$4:$E$36,MATCH($A105,Barneveld!$C$4:$C$36,0)),"")&lt;&gt;"",IFERROR(INDEX(Barneveld!$E$4:$E$36,MATCH($A105,Barneveld!$C$4:$C$36,0)),""),IF(IFERROR(INDEX(Baarn!$F$4:$F$38,MATCH($A105,Baarn!$C$4:$C$38,0)),"")&lt;&gt;"",IFERROR(INDEX(Baarn!$F$4:$F$38,MATCH($A105,Baarn!$C$4:$C$38,0)),""),IF(IFERROR(INDEX(Scherpenzeel!$F$4:$F$103,MATCH($A105,Scherpenzeel!$C$4:$C$103,0)),"")&lt;&gt;"",IFERROR(INDEX(Scherpenzeel!$F$4:$F$103,MATCH($A105,Scherpenzeel!$C$4:$C$103,0)),""),IF(IFERROR(INDEX('4'!$F$4:$F$103,MATCH($A105,'4'!$C$4:$C$103,0)),"")&lt;&gt;"",IFERROR(INDEX('4'!$F$4:$F$103,MATCH($A105,'4'!$C$4:$C$103,0)),""),IFERROR(INDEX('5'!$F$4:$F$103,MATCH($A105,'5'!$C$4:$C$103,0)),""))))))</f>
        <v/>
      </c>
      <c r="C105" s="13" t="str">
        <f>IF($A105="","",IF(IFERROR(INDEX(Barneveld!$D$4:$D$36,MATCH($A105,Barneveld!$C$4:$C$36,0)),"")&lt;&gt;"",IFERROR(INDEX(Barneveld!$D$4:$D$36,MATCH($A105,Barneveld!$C$4:$C$36,0)),""),IF(IFERROR(INDEX(Baarn!$E$4:$E$38,MATCH($A105,Baarn!$C$4:$C$38,0)),"")&lt;&gt;"",IFERROR(INDEX(Baarn!$E$4:$E$38,MATCH($A105,Baarn!$C$4:$C$38,0)),""),IF(IFERROR(INDEX(Scherpenzeel!$E$4:$E$103,MATCH($A105,Scherpenzeel!$C$4:$C$103,0)),"")&lt;&gt;"",IFERROR(INDEX(Scherpenzeel!$E$4:$E$103,MATCH($A105,Scherpenzeel!$C$4:$C$103,0)),""),IF(IFERROR(INDEX('4'!$E$4:$E$103,MATCH($A105,'4'!$C$4:$C$103,0)),"")&lt;&gt;"",IFERROR(INDEX('4'!$E$4:$E$103,MATCH($A105,'4'!$C$4:$C$103,0)),""),IFERROR(INDEX('5'!$E$4:$E$103,MATCH($A105,'5'!$C$4:$C$103,0)),""))))))</f>
        <v/>
      </c>
      <c r="D105" s="24" t="str">
        <f>IF($A105="","",IFERROR(INDEX(Barneveld!$A$4:$A$36,MATCH($A105,Barneveld!$C$4:$C$36,0)),""))</f>
        <v/>
      </c>
      <c r="E105" s="15">
        <f>IF($A105="",0,IFERROR(INDEX(Barneveld!$H$4:$H$36,MATCH($A105,Barneveld!$C$4:$C$36,0)),0))</f>
        <v>0</v>
      </c>
      <c r="F105" s="24" t="str">
        <f>IF($A105="","",IFERROR(INDEX(Baarn!$A$4:$A$38,MATCH($A105,Baarn!$C$4:$C$38,0)),""))</f>
        <v/>
      </c>
      <c r="G105" s="15">
        <f>IF($A105="",0,IFERROR(INDEX(Baarn!$I$4:$I$38,MATCH($A105,Baarn!$C$4:$C$38,0)),0))</f>
        <v>0</v>
      </c>
      <c r="H105" s="24" t="str">
        <f>IF($A105="","",IFERROR(INDEX(Scherpenzeel!$A$4:$A$103,MATCH($A105,Scherpenzeel!$C$4:$C$103,0)),""))</f>
        <v/>
      </c>
      <c r="I105" s="15">
        <f>IF($A105="",0,IFERROR(INDEX(Scherpenzeel!$I$4:$I$103,MATCH($A105,Scherpenzeel!$C$4:$C$103,0)),0))</f>
        <v>0</v>
      </c>
      <c r="J105" s="24" t="str">
        <f>IF($A105="","",IFERROR(INDEX('4'!$A$4:$A$103,MATCH($A105,'4'!$C$4:$C$103,0)),""))</f>
        <v/>
      </c>
      <c r="K105" s="15">
        <f>IF($A105="",0,IFERROR(INDEX('4'!$I$4:$I$103,MATCH($A105,'4'!$C$4:$C$103,0)),0))</f>
        <v>0</v>
      </c>
      <c r="L105" s="24" t="str">
        <f>IF($A105="","",IFERROR(INDEX('5'!$A$4:$A$103,MATCH($A105,'5'!$C$4:$C$103,0)),""))</f>
        <v/>
      </c>
      <c r="M105" s="15">
        <f>IF($A105="",0,IFERROR(INDEX('5'!$I$4:$I$103,MATCH($A105,'5'!$C$4:$C$103,0)),0))</f>
        <v>0</v>
      </c>
      <c r="N105" s="25" t="str">
        <f>IF($A105="","",E105+G105+I105+K105+M105)</f>
        <v/>
      </c>
      <c r="O105" s="26" t="str">
        <f>IF(OR($A105="",N105="",N105=0),"",RANK(N105,$N$4:$N$203,0))</f>
        <v/>
      </c>
      <c r="AA105" t="str">
        <f>Scherpenzeel!C40</f>
        <v>Mitchell Huenders</v>
      </c>
      <c r="AB105">
        <f>IF(AA105="",0,IF(COUNTIF($AA$1:AA105,AA105)=1,1,0))</f>
        <v>0</v>
      </c>
      <c r="AC105" t="str">
        <f>IF(AB105=1,COUNTIF($AB$1:AB105,1),"")</f>
        <v/>
      </c>
    </row>
    <row r="106" spans="1:29" x14ac:dyDescent="0.25">
      <c r="A106" s="13" t="str">
        <f>IFERROR(INDEX($AA$1:$AA$368,MATCH(103,$AC$1:$AC$368,0)),"")</f>
        <v/>
      </c>
      <c r="B106" s="13" t="str">
        <f>IF($A106="","",IF(IFERROR(INDEX(Barneveld!$E$4:$E$36,MATCH($A106,Barneveld!$C$4:$C$36,0)),"")&lt;&gt;"",IFERROR(INDEX(Barneveld!$E$4:$E$36,MATCH($A106,Barneveld!$C$4:$C$36,0)),""),IF(IFERROR(INDEX(Baarn!$F$4:$F$38,MATCH($A106,Baarn!$C$4:$C$38,0)),"")&lt;&gt;"",IFERROR(INDEX(Baarn!$F$4:$F$38,MATCH($A106,Baarn!$C$4:$C$38,0)),""),IF(IFERROR(INDEX(Scherpenzeel!$F$4:$F$103,MATCH($A106,Scherpenzeel!$C$4:$C$103,0)),"")&lt;&gt;"",IFERROR(INDEX(Scherpenzeel!$F$4:$F$103,MATCH($A106,Scherpenzeel!$C$4:$C$103,0)),""),IF(IFERROR(INDEX('4'!$F$4:$F$103,MATCH($A106,'4'!$C$4:$C$103,0)),"")&lt;&gt;"",IFERROR(INDEX('4'!$F$4:$F$103,MATCH($A106,'4'!$C$4:$C$103,0)),""),IFERROR(INDEX('5'!$F$4:$F$103,MATCH($A106,'5'!$C$4:$C$103,0)),""))))))</f>
        <v/>
      </c>
      <c r="C106" s="13" t="str">
        <f>IF($A106="","",IF(IFERROR(INDEX(Barneveld!$D$4:$D$36,MATCH($A106,Barneveld!$C$4:$C$36,0)),"")&lt;&gt;"",IFERROR(INDEX(Barneveld!$D$4:$D$36,MATCH($A106,Barneveld!$C$4:$C$36,0)),""),IF(IFERROR(INDEX(Baarn!$E$4:$E$38,MATCH($A106,Baarn!$C$4:$C$38,0)),"")&lt;&gt;"",IFERROR(INDEX(Baarn!$E$4:$E$38,MATCH($A106,Baarn!$C$4:$C$38,0)),""),IF(IFERROR(INDEX(Scherpenzeel!$E$4:$E$103,MATCH($A106,Scherpenzeel!$C$4:$C$103,0)),"")&lt;&gt;"",IFERROR(INDEX(Scherpenzeel!$E$4:$E$103,MATCH($A106,Scherpenzeel!$C$4:$C$103,0)),""),IF(IFERROR(INDEX('4'!$E$4:$E$103,MATCH($A106,'4'!$C$4:$C$103,0)),"")&lt;&gt;"",IFERROR(INDEX('4'!$E$4:$E$103,MATCH($A106,'4'!$C$4:$C$103,0)),""),IFERROR(INDEX('5'!$E$4:$E$103,MATCH($A106,'5'!$C$4:$C$103,0)),""))))))</f>
        <v/>
      </c>
      <c r="D106" s="24" t="str">
        <f>IF($A106="","",IFERROR(INDEX(Barneveld!$A$4:$A$36,MATCH($A106,Barneveld!$C$4:$C$36,0)),""))</f>
        <v/>
      </c>
      <c r="E106" s="15">
        <f>IF($A106="",0,IFERROR(INDEX(Barneveld!$H$4:$H$36,MATCH($A106,Barneveld!$C$4:$C$36,0)),0))</f>
        <v>0</v>
      </c>
      <c r="F106" s="24" t="str">
        <f>IF($A106="","",IFERROR(INDEX(Baarn!$A$4:$A$38,MATCH($A106,Baarn!$C$4:$C$38,0)),""))</f>
        <v/>
      </c>
      <c r="G106" s="15">
        <f>IF($A106="",0,IFERROR(INDEX(Baarn!$I$4:$I$38,MATCH($A106,Baarn!$C$4:$C$38,0)),0))</f>
        <v>0</v>
      </c>
      <c r="H106" s="24" t="str">
        <f>IF($A106="","",IFERROR(INDEX(Scherpenzeel!$A$4:$A$103,MATCH($A106,Scherpenzeel!$C$4:$C$103,0)),""))</f>
        <v/>
      </c>
      <c r="I106" s="15">
        <f>IF($A106="",0,IFERROR(INDEX(Scherpenzeel!$I$4:$I$103,MATCH($A106,Scherpenzeel!$C$4:$C$103,0)),0))</f>
        <v>0</v>
      </c>
      <c r="J106" s="24" t="str">
        <f>IF($A106="","",IFERROR(INDEX('4'!$A$4:$A$103,MATCH($A106,'4'!$C$4:$C$103,0)),""))</f>
        <v/>
      </c>
      <c r="K106" s="15">
        <f>IF($A106="",0,IFERROR(INDEX('4'!$I$4:$I$103,MATCH($A106,'4'!$C$4:$C$103,0)),0))</f>
        <v>0</v>
      </c>
      <c r="L106" s="24" t="str">
        <f>IF($A106="","",IFERROR(INDEX('5'!$A$4:$A$103,MATCH($A106,'5'!$C$4:$C$103,0)),""))</f>
        <v/>
      </c>
      <c r="M106" s="15">
        <f>IF($A106="",0,IFERROR(INDEX('5'!$I$4:$I$103,MATCH($A106,'5'!$C$4:$C$103,0)),0))</f>
        <v>0</v>
      </c>
      <c r="N106" s="25" t="str">
        <f>IF($A106="","",E106+G106+I106+K106+M106)</f>
        <v/>
      </c>
      <c r="O106" s="26" t="str">
        <f>IF(OR($A106="",N106="",N106=0),"",RANK(N106,$N$4:$N$203,0))</f>
        <v/>
      </c>
      <c r="AA106" t="str">
        <f>Scherpenzeel!C41</f>
        <v>Menno van Capel</v>
      </c>
      <c r="AB106">
        <f>IF(AA106="",0,IF(COUNTIF($AA$1:AA106,AA106)=1,1,0))</f>
        <v>1</v>
      </c>
      <c r="AC106">
        <f>IF(AB106=1,COUNTIF($AB$1:AB106,1),"")</f>
        <v>66</v>
      </c>
    </row>
    <row r="107" spans="1:29" x14ac:dyDescent="0.25">
      <c r="A107" s="13" t="str">
        <f>IFERROR(INDEX($AA$1:$AA$368,MATCH(104,$AC$1:$AC$368,0)),"")</f>
        <v/>
      </c>
      <c r="B107" s="13" t="str">
        <f>IF($A107="","",IF(IFERROR(INDEX(Barneveld!$E$4:$E$36,MATCH($A107,Barneveld!$C$4:$C$36,0)),"")&lt;&gt;"",IFERROR(INDEX(Barneveld!$E$4:$E$36,MATCH($A107,Barneveld!$C$4:$C$36,0)),""),IF(IFERROR(INDEX(Baarn!$F$4:$F$38,MATCH($A107,Baarn!$C$4:$C$38,0)),"")&lt;&gt;"",IFERROR(INDEX(Baarn!$F$4:$F$38,MATCH($A107,Baarn!$C$4:$C$38,0)),""),IF(IFERROR(INDEX(Scherpenzeel!$F$4:$F$103,MATCH($A107,Scherpenzeel!$C$4:$C$103,0)),"")&lt;&gt;"",IFERROR(INDEX(Scherpenzeel!$F$4:$F$103,MATCH($A107,Scherpenzeel!$C$4:$C$103,0)),""),IF(IFERROR(INDEX('4'!$F$4:$F$103,MATCH($A107,'4'!$C$4:$C$103,0)),"")&lt;&gt;"",IFERROR(INDEX('4'!$F$4:$F$103,MATCH($A107,'4'!$C$4:$C$103,0)),""),IFERROR(INDEX('5'!$F$4:$F$103,MATCH($A107,'5'!$C$4:$C$103,0)),""))))))</f>
        <v/>
      </c>
      <c r="C107" s="13" t="str">
        <f>IF($A107="","",IF(IFERROR(INDEX(Barneveld!$D$4:$D$36,MATCH($A107,Barneveld!$C$4:$C$36,0)),"")&lt;&gt;"",IFERROR(INDEX(Barneveld!$D$4:$D$36,MATCH($A107,Barneveld!$C$4:$C$36,0)),""),IF(IFERROR(INDEX(Baarn!$E$4:$E$38,MATCH($A107,Baarn!$C$4:$C$38,0)),"")&lt;&gt;"",IFERROR(INDEX(Baarn!$E$4:$E$38,MATCH($A107,Baarn!$C$4:$C$38,0)),""),IF(IFERROR(INDEX(Scherpenzeel!$E$4:$E$103,MATCH($A107,Scherpenzeel!$C$4:$C$103,0)),"")&lt;&gt;"",IFERROR(INDEX(Scherpenzeel!$E$4:$E$103,MATCH($A107,Scherpenzeel!$C$4:$C$103,0)),""),IF(IFERROR(INDEX('4'!$E$4:$E$103,MATCH($A107,'4'!$C$4:$C$103,0)),"")&lt;&gt;"",IFERROR(INDEX('4'!$E$4:$E$103,MATCH($A107,'4'!$C$4:$C$103,0)),""),IFERROR(INDEX('5'!$E$4:$E$103,MATCH($A107,'5'!$C$4:$C$103,0)),""))))))</f>
        <v/>
      </c>
      <c r="D107" s="24" t="str">
        <f>IF($A107="","",IFERROR(INDEX(Barneveld!$A$4:$A$36,MATCH($A107,Barneveld!$C$4:$C$36,0)),""))</f>
        <v/>
      </c>
      <c r="E107" s="15">
        <f>IF($A107="",0,IFERROR(INDEX(Barneveld!$H$4:$H$36,MATCH($A107,Barneveld!$C$4:$C$36,0)),0))</f>
        <v>0</v>
      </c>
      <c r="F107" s="24" t="str">
        <f>IF($A107="","",IFERROR(INDEX(Baarn!$A$4:$A$38,MATCH($A107,Baarn!$C$4:$C$38,0)),""))</f>
        <v/>
      </c>
      <c r="G107" s="15">
        <f>IF($A107="",0,IFERROR(INDEX(Baarn!$I$4:$I$38,MATCH($A107,Baarn!$C$4:$C$38,0)),0))</f>
        <v>0</v>
      </c>
      <c r="H107" s="24" t="str">
        <f>IF($A107="","",IFERROR(INDEX(Scherpenzeel!$A$4:$A$103,MATCH($A107,Scherpenzeel!$C$4:$C$103,0)),""))</f>
        <v/>
      </c>
      <c r="I107" s="15">
        <f>IF($A107="",0,IFERROR(INDEX(Scherpenzeel!$I$4:$I$103,MATCH($A107,Scherpenzeel!$C$4:$C$103,0)),0))</f>
        <v>0</v>
      </c>
      <c r="J107" s="24" t="str">
        <f>IF($A107="","",IFERROR(INDEX('4'!$A$4:$A$103,MATCH($A107,'4'!$C$4:$C$103,0)),""))</f>
        <v/>
      </c>
      <c r="K107" s="15">
        <f>IF($A107="",0,IFERROR(INDEX('4'!$I$4:$I$103,MATCH($A107,'4'!$C$4:$C$103,0)),0))</f>
        <v>0</v>
      </c>
      <c r="L107" s="24" t="str">
        <f>IF($A107="","",IFERROR(INDEX('5'!$A$4:$A$103,MATCH($A107,'5'!$C$4:$C$103,0)),""))</f>
        <v/>
      </c>
      <c r="M107" s="15">
        <f>IF($A107="",0,IFERROR(INDEX('5'!$I$4:$I$103,MATCH($A107,'5'!$C$4:$C$103,0)),0))</f>
        <v>0</v>
      </c>
      <c r="N107" s="25" t="str">
        <f>IF($A107="","",E107+G107+I107+K107+M107)</f>
        <v/>
      </c>
      <c r="O107" s="26" t="str">
        <f>IF(OR($A107="",N107="",N107=0),"",RANK(N107,$N$4:$N$203,0))</f>
        <v/>
      </c>
      <c r="AA107" t="str">
        <f>Scherpenzeel!C42</f>
        <v>Bart Veldhuizen</v>
      </c>
      <c r="AB107">
        <f>IF(AA107="",0,IF(COUNTIF($AA$1:AA107,AA107)=1,1,0))</f>
        <v>0</v>
      </c>
      <c r="AC107" t="str">
        <f>IF(AB107=1,COUNTIF($AB$1:AB107,1),"")</f>
        <v/>
      </c>
    </row>
    <row r="108" spans="1:29" x14ac:dyDescent="0.25">
      <c r="A108" s="13" t="str">
        <f>IFERROR(INDEX($AA$1:$AA$368,MATCH(105,$AC$1:$AC$368,0)),"")</f>
        <v/>
      </c>
      <c r="B108" s="13" t="str">
        <f>IF($A108="","",IF(IFERROR(INDEX(Barneveld!$E$4:$E$36,MATCH($A108,Barneveld!$C$4:$C$36,0)),"")&lt;&gt;"",IFERROR(INDEX(Barneveld!$E$4:$E$36,MATCH($A108,Barneveld!$C$4:$C$36,0)),""),IF(IFERROR(INDEX(Baarn!$F$4:$F$38,MATCH($A108,Baarn!$C$4:$C$38,0)),"")&lt;&gt;"",IFERROR(INDEX(Baarn!$F$4:$F$38,MATCH($A108,Baarn!$C$4:$C$38,0)),""),IF(IFERROR(INDEX(Scherpenzeel!$F$4:$F$103,MATCH($A108,Scherpenzeel!$C$4:$C$103,0)),"")&lt;&gt;"",IFERROR(INDEX(Scherpenzeel!$F$4:$F$103,MATCH($A108,Scherpenzeel!$C$4:$C$103,0)),""),IF(IFERROR(INDEX('4'!$F$4:$F$103,MATCH($A108,'4'!$C$4:$C$103,0)),"")&lt;&gt;"",IFERROR(INDEX('4'!$F$4:$F$103,MATCH($A108,'4'!$C$4:$C$103,0)),""),IFERROR(INDEX('5'!$F$4:$F$103,MATCH($A108,'5'!$C$4:$C$103,0)),""))))))</f>
        <v/>
      </c>
      <c r="C108" s="13" t="str">
        <f>IF($A108="","",IF(IFERROR(INDEX(Barneveld!$D$4:$D$36,MATCH($A108,Barneveld!$C$4:$C$36,0)),"")&lt;&gt;"",IFERROR(INDEX(Barneveld!$D$4:$D$36,MATCH($A108,Barneveld!$C$4:$C$36,0)),""),IF(IFERROR(INDEX(Baarn!$E$4:$E$38,MATCH($A108,Baarn!$C$4:$C$38,0)),"")&lt;&gt;"",IFERROR(INDEX(Baarn!$E$4:$E$38,MATCH($A108,Baarn!$C$4:$C$38,0)),""),IF(IFERROR(INDEX(Scherpenzeel!$E$4:$E$103,MATCH($A108,Scherpenzeel!$C$4:$C$103,0)),"")&lt;&gt;"",IFERROR(INDEX(Scherpenzeel!$E$4:$E$103,MATCH($A108,Scherpenzeel!$C$4:$C$103,0)),""),IF(IFERROR(INDEX('4'!$E$4:$E$103,MATCH($A108,'4'!$C$4:$C$103,0)),"")&lt;&gt;"",IFERROR(INDEX('4'!$E$4:$E$103,MATCH($A108,'4'!$C$4:$C$103,0)),""),IFERROR(INDEX('5'!$E$4:$E$103,MATCH($A108,'5'!$C$4:$C$103,0)),""))))))</f>
        <v/>
      </c>
      <c r="D108" s="24" t="str">
        <f>IF($A108="","",IFERROR(INDEX(Barneveld!$A$4:$A$36,MATCH($A108,Barneveld!$C$4:$C$36,0)),""))</f>
        <v/>
      </c>
      <c r="E108" s="15">
        <f>IF($A108="",0,IFERROR(INDEX(Barneveld!$H$4:$H$36,MATCH($A108,Barneveld!$C$4:$C$36,0)),0))</f>
        <v>0</v>
      </c>
      <c r="F108" s="24" t="str">
        <f>IF($A108="","",IFERROR(INDEX(Baarn!$A$4:$A$38,MATCH($A108,Baarn!$C$4:$C$38,0)),""))</f>
        <v/>
      </c>
      <c r="G108" s="15">
        <f>IF($A108="",0,IFERROR(INDEX(Baarn!$I$4:$I$38,MATCH($A108,Baarn!$C$4:$C$38,0)),0))</f>
        <v>0</v>
      </c>
      <c r="H108" s="24" t="str">
        <f>IF($A108="","",IFERROR(INDEX(Scherpenzeel!$A$4:$A$103,MATCH($A108,Scherpenzeel!$C$4:$C$103,0)),""))</f>
        <v/>
      </c>
      <c r="I108" s="15">
        <f>IF($A108="",0,IFERROR(INDEX(Scherpenzeel!$I$4:$I$103,MATCH($A108,Scherpenzeel!$C$4:$C$103,0)),0))</f>
        <v>0</v>
      </c>
      <c r="J108" s="24" t="str">
        <f>IF($A108="","",IFERROR(INDEX('4'!$A$4:$A$103,MATCH($A108,'4'!$C$4:$C$103,0)),""))</f>
        <v/>
      </c>
      <c r="K108" s="15">
        <f>IF($A108="",0,IFERROR(INDEX('4'!$I$4:$I$103,MATCH($A108,'4'!$C$4:$C$103,0)),0))</f>
        <v>0</v>
      </c>
      <c r="L108" s="24" t="str">
        <f>IF($A108="","",IFERROR(INDEX('5'!$A$4:$A$103,MATCH($A108,'5'!$C$4:$C$103,0)),""))</f>
        <v/>
      </c>
      <c r="M108" s="15">
        <f>IF($A108="",0,IFERROR(INDEX('5'!$I$4:$I$103,MATCH($A108,'5'!$C$4:$C$103,0)),0))</f>
        <v>0</v>
      </c>
      <c r="N108" s="25" t="str">
        <f>IF($A108="","",E108+G108+I108+K108+M108)</f>
        <v/>
      </c>
      <c r="O108" s="26" t="str">
        <f>IF(OR($A108="",N108="",N108=0),"",RANK(N108,$N$4:$N$203,0))</f>
        <v/>
      </c>
      <c r="AA108" t="str">
        <f>Scherpenzeel!C43</f>
        <v>Alexander Harper</v>
      </c>
      <c r="AB108">
        <f>IF(AA108="",0,IF(COUNTIF($AA$1:AA108,AA108)=1,1,0))</f>
        <v>0</v>
      </c>
      <c r="AC108" t="str">
        <f>IF(AB108=1,COUNTIF($AB$1:AB108,1),"")</f>
        <v/>
      </c>
    </row>
    <row r="109" spans="1:29" x14ac:dyDescent="0.25">
      <c r="A109" s="13" t="str">
        <f>IFERROR(INDEX($AA$1:$AA$368,MATCH(106,$AC$1:$AC$368,0)),"")</f>
        <v/>
      </c>
      <c r="B109" s="13" t="str">
        <f>IF($A109="","",IF(IFERROR(INDEX(Barneveld!$E$4:$E$36,MATCH($A109,Barneveld!$C$4:$C$36,0)),"")&lt;&gt;"",IFERROR(INDEX(Barneveld!$E$4:$E$36,MATCH($A109,Barneveld!$C$4:$C$36,0)),""),IF(IFERROR(INDEX(Baarn!$F$4:$F$38,MATCH($A109,Baarn!$C$4:$C$38,0)),"")&lt;&gt;"",IFERROR(INDEX(Baarn!$F$4:$F$38,MATCH($A109,Baarn!$C$4:$C$38,0)),""),IF(IFERROR(INDEX(Scherpenzeel!$F$4:$F$103,MATCH($A109,Scherpenzeel!$C$4:$C$103,0)),"")&lt;&gt;"",IFERROR(INDEX(Scherpenzeel!$F$4:$F$103,MATCH($A109,Scherpenzeel!$C$4:$C$103,0)),""),IF(IFERROR(INDEX('4'!$F$4:$F$103,MATCH($A109,'4'!$C$4:$C$103,0)),"")&lt;&gt;"",IFERROR(INDEX('4'!$F$4:$F$103,MATCH($A109,'4'!$C$4:$C$103,0)),""),IFERROR(INDEX('5'!$F$4:$F$103,MATCH($A109,'5'!$C$4:$C$103,0)),""))))))</f>
        <v/>
      </c>
      <c r="C109" s="13" t="str">
        <f>IF($A109="","",IF(IFERROR(INDEX(Barneveld!$D$4:$D$36,MATCH($A109,Barneveld!$C$4:$C$36,0)),"")&lt;&gt;"",IFERROR(INDEX(Barneveld!$D$4:$D$36,MATCH($A109,Barneveld!$C$4:$C$36,0)),""),IF(IFERROR(INDEX(Baarn!$E$4:$E$38,MATCH($A109,Baarn!$C$4:$C$38,0)),"")&lt;&gt;"",IFERROR(INDEX(Baarn!$E$4:$E$38,MATCH($A109,Baarn!$C$4:$C$38,0)),""),IF(IFERROR(INDEX(Scherpenzeel!$E$4:$E$103,MATCH($A109,Scherpenzeel!$C$4:$C$103,0)),"")&lt;&gt;"",IFERROR(INDEX(Scherpenzeel!$E$4:$E$103,MATCH($A109,Scherpenzeel!$C$4:$C$103,0)),""),IF(IFERROR(INDEX('4'!$E$4:$E$103,MATCH($A109,'4'!$C$4:$C$103,0)),"")&lt;&gt;"",IFERROR(INDEX('4'!$E$4:$E$103,MATCH($A109,'4'!$C$4:$C$103,0)),""),IFERROR(INDEX('5'!$E$4:$E$103,MATCH($A109,'5'!$C$4:$C$103,0)),""))))))</f>
        <v/>
      </c>
      <c r="D109" s="24" t="str">
        <f>IF($A109="","",IFERROR(INDEX(Barneveld!$A$4:$A$36,MATCH($A109,Barneveld!$C$4:$C$36,0)),""))</f>
        <v/>
      </c>
      <c r="E109" s="15">
        <f>IF($A109="",0,IFERROR(INDEX(Barneveld!$H$4:$H$36,MATCH($A109,Barneveld!$C$4:$C$36,0)),0))</f>
        <v>0</v>
      </c>
      <c r="F109" s="24" t="str">
        <f>IF($A109="","",IFERROR(INDEX(Baarn!$A$4:$A$38,MATCH($A109,Baarn!$C$4:$C$38,0)),""))</f>
        <v/>
      </c>
      <c r="G109" s="15">
        <f>IF($A109="",0,IFERROR(INDEX(Baarn!$I$4:$I$38,MATCH($A109,Baarn!$C$4:$C$38,0)),0))</f>
        <v>0</v>
      </c>
      <c r="H109" s="24" t="str">
        <f>IF($A109="","",IFERROR(INDEX(Scherpenzeel!$A$4:$A$103,MATCH($A109,Scherpenzeel!$C$4:$C$103,0)),""))</f>
        <v/>
      </c>
      <c r="I109" s="15">
        <f>IF($A109="",0,IFERROR(INDEX(Scherpenzeel!$I$4:$I$103,MATCH($A109,Scherpenzeel!$C$4:$C$103,0)),0))</f>
        <v>0</v>
      </c>
      <c r="J109" s="24" t="str">
        <f>IF($A109="","",IFERROR(INDEX('4'!$A$4:$A$103,MATCH($A109,'4'!$C$4:$C$103,0)),""))</f>
        <v/>
      </c>
      <c r="K109" s="15">
        <f>IF($A109="",0,IFERROR(INDEX('4'!$I$4:$I$103,MATCH($A109,'4'!$C$4:$C$103,0)),0))</f>
        <v>0</v>
      </c>
      <c r="L109" s="24" t="str">
        <f>IF($A109="","",IFERROR(INDEX('5'!$A$4:$A$103,MATCH($A109,'5'!$C$4:$C$103,0)),""))</f>
        <v/>
      </c>
      <c r="M109" s="15">
        <f>IF($A109="",0,IFERROR(INDEX('5'!$I$4:$I$103,MATCH($A109,'5'!$C$4:$C$103,0)),0))</f>
        <v>0</v>
      </c>
      <c r="N109" s="25" t="str">
        <f>IF($A109="","",E109+G109+I109+K109+M109)</f>
        <v/>
      </c>
      <c r="O109" s="26" t="str">
        <f>IF(OR($A109="",N109="",N109=0),"",RANK(N109,$N$4:$N$203,0))</f>
        <v/>
      </c>
      <c r="AA109" t="str">
        <f>Scherpenzeel!C44</f>
        <v>Rick Vroege</v>
      </c>
      <c r="AB109">
        <f>IF(AA109="",0,IF(COUNTIF($AA$1:AA109,AA109)=1,1,0))</f>
        <v>0</v>
      </c>
      <c r="AC109" t="str">
        <f>IF(AB109=1,COUNTIF($AB$1:AB109,1),"")</f>
        <v/>
      </c>
    </row>
    <row r="110" spans="1:29" x14ac:dyDescent="0.25">
      <c r="A110" s="13" t="str">
        <f>IFERROR(INDEX($AA$1:$AA$368,MATCH(107,$AC$1:$AC$368,0)),"")</f>
        <v/>
      </c>
      <c r="B110" s="13" t="str">
        <f>IF($A110="","",IF(IFERROR(INDEX(Barneveld!$E$4:$E$36,MATCH($A110,Barneveld!$C$4:$C$36,0)),"")&lt;&gt;"",IFERROR(INDEX(Barneveld!$E$4:$E$36,MATCH($A110,Barneveld!$C$4:$C$36,0)),""),IF(IFERROR(INDEX(Baarn!$F$4:$F$38,MATCH($A110,Baarn!$C$4:$C$38,0)),"")&lt;&gt;"",IFERROR(INDEX(Baarn!$F$4:$F$38,MATCH($A110,Baarn!$C$4:$C$38,0)),""),IF(IFERROR(INDEX(Scherpenzeel!$F$4:$F$103,MATCH($A110,Scherpenzeel!$C$4:$C$103,0)),"")&lt;&gt;"",IFERROR(INDEX(Scherpenzeel!$F$4:$F$103,MATCH($A110,Scherpenzeel!$C$4:$C$103,0)),""),IF(IFERROR(INDEX('4'!$F$4:$F$103,MATCH($A110,'4'!$C$4:$C$103,0)),"")&lt;&gt;"",IFERROR(INDEX('4'!$F$4:$F$103,MATCH($A110,'4'!$C$4:$C$103,0)),""),IFERROR(INDEX('5'!$F$4:$F$103,MATCH($A110,'5'!$C$4:$C$103,0)),""))))))</f>
        <v/>
      </c>
      <c r="C110" s="13" t="str">
        <f>IF($A110="","",IF(IFERROR(INDEX(Barneveld!$D$4:$D$36,MATCH($A110,Barneveld!$C$4:$C$36,0)),"")&lt;&gt;"",IFERROR(INDEX(Barneveld!$D$4:$D$36,MATCH($A110,Barneveld!$C$4:$C$36,0)),""),IF(IFERROR(INDEX(Baarn!$E$4:$E$38,MATCH($A110,Baarn!$C$4:$C$38,0)),"")&lt;&gt;"",IFERROR(INDEX(Baarn!$E$4:$E$38,MATCH($A110,Baarn!$C$4:$C$38,0)),""),IF(IFERROR(INDEX(Scherpenzeel!$E$4:$E$103,MATCH($A110,Scherpenzeel!$C$4:$C$103,0)),"")&lt;&gt;"",IFERROR(INDEX(Scherpenzeel!$E$4:$E$103,MATCH($A110,Scherpenzeel!$C$4:$C$103,0)),""),IF(IFERROR(INDEX('4'!$E$4:$E$103,MATCH($A110,'4'!$C$4:$C$103,0)),"")&lt;&gt;"",IFERROR(INDEX('4'!$E$4:$E$103,MATCH($A110,'4'!$C$4:$C$103,0)),""),IFERROR(INDEX('5'!$E$4:$E$103,MATCH($A110,'5'!$C$4:$C$103,0)),""))))))</f>
        <v/>
      </c>
      <c r="D110" s="24" t="str">
        <f>IF($A110="","",IFERROR(INDEX(Barneveld!$A$4:$A$36,MATCH($A110,Barneveld!$C$4:$C$36,0)),""))</f>
        <v/>
      </c>
      <c r="E110" s="15">
        <f>IF($A110="",0,IFERROR(INDEX(Barneveld!$H$4:$H$36,MATCH($A110,Barneveld!$C$4:$C$36,0)),0))</f>
        <v>0</v>
      </c>
      <c r="F110" s="24" t="str">
        <f>IF($A110="","",IFERROR(INDEX(Baarn!$A$4:$A$38,MATCH($A110,Baarn!$C$4:$C$38,0)),""))</f>
        <v/>
      </c>
      <c r="G110" s="15">
        <f>IF($A110="",0,IFERROR(INDEX(Baarn!$I$4:$I$38,MATCH($A110,Baarn!$C$4:$C$38,0)),0))</f>
        <v>0</v>
      </c>
      <c r="H110" s="24" t="str">
        <f>IF($A110="","",IFERROR(INDEX(Scherpenzeel!$A$4:$A$103,MATCH($A110,Scherpenzeel!$C$4:$C$103,0)),""))</f>
        <v/>
      </c>
      <c r="I110" s="15">
        <f>IF($A110="",0,IFERROR(INDEX(Scherpenzeel!$I$4:$I$103,MATCH($A110,Scherpenzeel!$C$4:$C$103,0)),0))</f>
        <v>0</v>
      </c>
      <c r="J110" s="24" t="str">
        <f>IF($A110="","",IFERROR(INDEX('4'!$A$4:$A$103,MATCH($A110,'4'!$C$4:$C$103,0)),""))</f>
        <v/>
      </c>
      <c r="K110" s="15">
        <f>IF($A110="",0,IFERROR(INDEX('4'!$I$4:$I$103,MATCH($A110,'4'!$C$4:$C$103,0)),0))</f>
        <v>0</v>
      </c>
      <c r="L110" s="24" t="str">
        <f>IF($A110="","",IFERROR(INDEX('5'!$A$4:$A$103,MATCH($A110,'5'!$C$4:$C$103,0)),""))</f>
        <v/>
      </c>
      <c r="M110" s="15">
        <f>IF($A110="",0,IFERROR(INDEX('5'!$I$4:$I$103,MATCH($A110,'5'!$C$4:$C$103,0)),0))</f>
        <v>0</v>
      </c>
      <c r="N110" s="25" t="str">
        <f>IF($A110="","",E110+G110+I110+K110+M110)</f>
        <v/>
      </c>
      <c r="O110" s="26" t="str">
        <f>IF(OR($A110="",N110="",N110=0),"",RANK(N110,$N$4:$N$203,0))</f>
        <v/>
      </c>
      <c r="AA110" t="str">
        <f>Scherpenzeel!C45</f>
        <v>Kion van Es</v>
      </c>
      <c r="AB110">
        <f>IF(AA110="",0,IF(COUNTIF($AA$1:AA110,AA110)=1,1,0))</f>
        <v>1</v>
      </c>
      <c r="AC110">
        <f>IF(AB110=1,COUNTIF($AB$1:AB110,1),"")</f>
        <v>67</v>
      </c>
    </row>
    <row r="111" spans="1:29" x14ac:dyDescent="0.25">
      <c r="A111" s="13" t="str">
        <f>IFERROR(INDEX($AA$1:$AA$368,MATCH(108,$AC$1:$AC$368,0)),"")</f>
        <v/>
      </c>
      <c r="B111" s="13" t="str">
        <f>IF($A111="","",IF(IFERROR(INDEX(Barneveld!$E$4:$E$36,MATCH($A111,Barneveld!$C$4:$C$36,0)),"")&lt;&gt;"",IFERROR(INDEX(Barneveld!$E$4:$E$36,MATCH($A111,Barneveld!$C$4:$C$36,0)),""),IF(IFERROR(INDEX(Baarn!$F$4:$F$38,MATCH($A111,Baarn!$C$4:$C$38,0)),"")&lt;&gt;"",IFERROR(INDEX(Baarn!$F$4:$F$38,MATCH($A111,Baarn!$C$4:$C$38,0)),""),IF(IFERROR(INDEX(Scherpenzeel!$F$4:$F$103,MATCH($A111,Scherpenzeel!$C$4:$C$103,0)),"")&lt;&gt;"",IFERROR(INDEX(Scherpenzeel!$F$4:$F$103,MATCH($A111,Scherpenzeel!$C$4:$C$103,0)),""),IF(IFERROR(INDEX('4'!$F$4:$F$103,MATCH($A111,'4'!$C$4:$C$103,0)),"")&lt;&gt;"",IFERROR(INDEX('4'!$F$4:$F$103,MATCH($A111,'4'!$C$4:$C$103,0)),""),IFERROR(INDEX('5'!$F$4:$F$103,MATCH($A111,'5'!$C$4:$C$103,0)),""))))))</f>
        <v/>
      </c>
      <c r="C111" s="13" t="str">
        <f>IF($A111="","",IF(IFERROR(INDEX(Barneveld!$D$4:$D$36,MATCH($A111,Barneveld!$C$4:$C$36,0)),"")&lt;&gt;"",IFERROR(INDEX(Barneveld!$D$4:$D$36,MATCH($A111,Barneveld!$C$4:$C$36,0)),""),IF(IFERROR(INDEX(Baarn!$E$4:$E$38,MATCH($A111,Baarn!$C$4:$C$38,0)),"")&lt;&gt;"",IFERROR(INDEX(Baarn!$E$4:$E$38,MATCH($A111,Baarn!$C$4:$C$38,0)),""),IF(IFERROR(INDEX(Scherpenzeel!$E$4:$E$103,MATCH($A111,Scherpenzeel!$C$4:$C$103,0)),"")&lt;&gt;"",IFERROR(INDEX(Scherpenzeel!$E$4:$E$103,MATCH($A111,Scherpenzeel!$C$4:$C$103,0)),""),IF(IFERROR(INDEX('4'!$E$4:$E$103,MATCH($A111,'4'!$C$4:$C$103,0)),"")&lt;&gt;"",IFERROR(INDEX('4'!$E$4:$E$103,MATCH($A111,'4'!$C$4:$C$103,0)),""),IFERROR(INDEX('5'!$E$4:$E$103,MATCH($A111,'5'!$C$4:$C$103,0)),""))))))</f>
        <v/>
      </c>
      <c r="D111" s="24" t="str">
        <f>IF($A111="","",IFERROR(INDEX(Barneveld!$A$4:$A$36,MATCH($A111,Barneveld!$C$4:$C$36,0)),""))</f>
        <v/>
      </c>
      <c r="E111" s="15">
        <f>IF($A111="",0,IFERROR(INDEX(Barneveld!$H$4:$H$36,MATCH($A111,Barneveld!$C$4:$C$36,0)),0))</f>
        <v>0</v>
      </c>
      <c r="F111" s="24" t="str">
        <f>IF($A111="","",IFERROR(INDEX(Baarn!$A$4:$A$38,MATCH($A111,Baarn!$C$4:$C$38,0)),""))</f>
        <v/>
      </c>
      <c r="G111" s="15">
        <f>IF($A111="",0,IFERROR(INDEX(Baarn!$I$4:$I$38,MATCH($A111,Baarn!$C$4:$C$38,0)),0))</f>
        <v>0</v>
      </c>
      <c r="H111" s="24" t="str">
        <f>IF($A111="","",IFERROR(INDEX(Scherpenzeel!$A$4:$A$103,MATCH($A111,Scherpenzeel!$C$4:$C$103,0)),""))</f>
        <v/>
      </c>
      <c r="I111" s="15">
        <f>IF($A111="",0,IFERROR(INDEX(Scherpenzeel!$I$4:$I$103,MATCH($A111,Scherpenzeel!$C$4:$C$103,0)),0))</f>
        <v>0</v>
      </c>
      <c r="J111" s="24" t="str">
        <f>IF($A111="","",IFERROR(INDEX('4'!$A$4:$A$103,MATCH($A111,'4'!$C$4:$C$103,0)),""))</f>
        <v/>
      </c>
      <c r="K111" s="15">
        <f>IF($A111="",0,IFERROR(INDEX('4'!$I$4:$I$103,MATCH($A111,'4'!$C$4:$C$103,0)),0))</f>
        <v>0</v>
      </c>
      <c r="L111" s="24" t="str">
        <f>IF($A111="","",IFERROR(INDEX('5'!$A$4:$A$103,MATCH($A111,'5'!$C$4:$C$103,0)),""))</f>
        <v/>
      </c>
      <c r="M111" s="15">
        <f>IF($A111="",0,IFERROR(INDEX('5'!$I$4:$I$103,MATCH($A111,'5'!$C$4:$C$103,0)),0))</f>
        <v>0</v>
      </c>
      <c r="N111" s="25" t="str">
        <f>IF($A111="","",E111+G111+I111+K111+M111)</f>
        <v/>
      </c>
      <c r="O111" s="26" t="str">
        <f>IF(OR($A111="",N111="",N111=0),"",RANK(N111,$N$4:$N$203,0))</f>
        <v/>
      </c>
      <c r="AA111" t="str">
        <f>Scherpenzeel!C46</f>
        <v>Arjen Veldhuizen</v>
      </c>
      <c r="AB111">
        <f>IF(AA111="",0,IF(COUNTIF($AA$1:AA111,AA111)=1,1,0))</f>
        <v>1</v>
      </c>
      <c r="AC111">
        <f>IF(AB111=1,COUNTIF($AB$1:AB111,1),"")</f>
        <v>68</v>
      </c>
    </row>
    <row r="112" spans="1:29" x14ac:dyDescent="0.25">
      <c r="A112" s="13" t="str">
        <f>IFERROR(INDEX($AA$1:$AA$368,MATCH(109,$AC$1:$AC$368,0)),"")</f>
        <v/>
      </c>
      <c r="B112" s="13" t="str">
        <f>IF($A112="","",IF(IFERROR(INDEX(Barneveld!$E$4:$E$36,MATCH($A112,Barneveld!$C$4:$C$36,0)),"")&lt;&gt;"",IFERROR(INDEX(Barneveld!$E$4:$E$36,MATCH($A112,Barneveld!$C$4:$C$36,0)),""),IF(IFERROR(INDEX(Baarn!$F$4:$F$38,MATCH($A112,Baarn!$C$4:$C$38,0)),"")&lt;&gt;"",IFERROR(INDEX(Baarn!$F$4:$F$38,MATCH($A112,Baarn!$C$4:$C$38,0)),""),IF(IFERROR(INDEX(Scherpenzeel!$F$4:$F$103,MATCH($A112,Scherpenzeel!$C$4:$C$103,0)),"")&lt;&gt;"",IFERROR(INDEX(Scherpenzeel!$F$4:$F$103,MATCH($A112,Scherpenzeel!$C$4:$C$103,0)),""),IF(IFERROR(INDEX('4'!$F$4:$F$103,MATCH($A112,'4'!$C$4:$C$103,0)),"")&lt;&gt;"",IFERROR(INDEX('4'!$F$4:$F$103,MATCH($A112,'4'!$C$4:$C$103,0)),""),IFERROR(INDEX('5'!$F$4:$F$103,MATCH($A112,'5'!$C$4:$C$103,0)),""))))))</f>
        <v/>
      </c>
      <c r="C112" s="13" t="str">
        <f>IF($A112="","",IF(IFERROR(INDEX(Barneveld!$D$4:$D$36,MATCH($A112,Barneveld!$C$4:$C$36,0)),"")&lt;&gt;"",IFERROR(INDEX(Barneveld!$D$4:$D$36,MATCH($A112,Barneveld!$C$4:$C$36,0)),""),IF(IFERROR(INDEX(Baarn!$E$4:$E$38,MATCH($A112,Baarn!$C$4:$C$38,0)),"")&lt;&gt;"",IFERROR(INDEX(Baarn!$E$4:$E$38,MATCH($A112,Baarn!$C$4:$C$38,0)),""),IF(IFERROR(INDEX(Scherpenzeel!$E$4:$E$103,MATCH($A112,Scherpenzeel!$C$4:$C$103,0)),"")&lt;&gt;"",IFERROR(INDEX(Scherpenzeel!$E$4:$E$103,MATCH($A112,Scherpenzeel!$C$4:$C$103,0)),""),IF(IFERROR(INDEX('4'!$E$4:$E$103,MATCH($A112,'4'!$C$4:$C$103,0)),"")&lt;&gt;"",IFERROR(INDEX('4'!$E$4:$E$103,MATCH($A112,'4'!$C$4:$C$103,0)),""),IFERROR(INDEX('5'!$E$4:$E$103,MATCH($A112,'5'!$C$4:$C$103,0)),""))))))</f>
        <v/>
      </c>
      <c r="D112" s="24" t="str">
        <f>IF($A112="","",IFERROR(INDEX(Barneveld!$A$4:$A$36,MATCH($A112,Barneveld!$C$4:$C$36,0)),""))</f>
        <v/>
      </c>
      <c r="E112" s="15">
        <f>IF($A112="",0,IFERROR(INDEX(Barneveld!$H$4:$H$36,MATCH($A112,Barneveld!$C$4:$C$36,0)),0))</f>
        <v>0</v>
      </c>
      <c r="F112" s="24" t="str">
        <f>IF($A112="","",IFERROR(INDEX(Baarn!$A$4:$A$38,MATCH($A112,Baarn!$C$4:$C$38,0)),""))</f>
        <v/>
      </c>
      <c r="G112" s="15">
        <f>IF($A112="",0,IFERROR(INDEX(Baarn!$I$4:$I$38,MATCH($A112,Baarn!$C$4:$C$38,0)),0))</f>
        <v>0</v>
      </c>
      <c r="H112" s="24" t="str">
        <f>IF($A112="","",IFERROR(INDEX(Scherpenzeel!$A$4:$A$103,MATCH($A112,Scherpenzeel!$C$4:$C$103,0)),""))</f>
        <v/>
      </c>
      <c r="I112" s="15">
        <f>IF($A112="",0,IFERROR(INDEX(Scherpenzeel!$I$4:$I$103,MATCH($A112,Scherpenzeel!$C$4:$C$103,0)),0))</f>
        <v>0</v>
      </c>
      <c r="J112" s="24" t="str">
        <f>IF($A112="","",IFERROR(INDEX('4'!$A$4:$A$103,MATCH($A112,'4'!$C$4:$C$103,0)),""))</f>
        <v/>
      </c>
      <c r="K112" s="15">
        <f>IF($A112="",0,IFERROR(INDEX('4'!$I$4:$I$103,MATCH($A112,'4'!$C$4:$C$103,0)),0))</f>
        <v>0</v>
      </c>
      <c r="L112" s="24" t="str">
        <f>IF($A112="","",IFERROR(INDEX('5'!$A$4:$A$103,MATCH($A112,'5'!$C$4:$C$103,0)),""))</f>
        <v/>
      </c>
      <c r="M112" s="15">
        <f>IF($A112="",0,IFERROR(INDEX('5'!$I$4:$I$103,MATCH($A112,'5'!$C$4:$C$103,0)),0))</f>
        <v>0</v>
      </c>
      <c r="N112" s="25" t="str">
        <f>IF($A112="","",E112+G112+I112+K112+M112)</f>
        <v/>
      </c>
      <c r="O112" s="26" t="str">
        <f>IF(OR($A112="",N112="",N112=0),"",RANK(N112,$N$4:$N$203,0))</f>
        <v/>
      </c>
      <c r="AA112">
        <f>Scherpenzeel!C47</f>
        <v>0</v>
      </c>
      <c r="AB112">
        <f>IF(AA112="",0,IF(COUNTIF($AA$1:AA112,AA112)=1,1,0))</f>
        <v>0</v>
      </c>
      <c r="AC112" t="str">
        <f>IF(AB112=1,COUNTIF($AB$1:AB112,1),"")</f>
        <v/>
      </c>
    </row>
    <row r="113" spans="1:29" x14ac:dyDescent="0.25">
      <c r="A113" s="13" t="str">
        <f>IFERROR(INDEX($AA$1:$AA$368,MATCH(110,$AC$1:$AC$368,0)),"")</f>
        <v/>
      </c>
      <c r="B113" s="13" t="str">
        <f>IF($A113="","",IF(IFERROR(INDEX(Barneveld!$E$4:$E$36,MATCH($A113,Barneveld!$C$4:$C$36,0)),"")&lt;&gt;"",IFERROR(INDEX(Barneveld!$E$4:$E$36,MATCH($A113,Barneveld!$C$4:$C$36,0)),""),IF(IFERROR(INDEX(Baarn!$F$4:$F$38,MATCH($A113,Baarn!$C$4:$C$38,0)),"")&lt;&gt;"",IFERROR(INDEX(Baarn!$F$4:$F$38,MATCH($A113,Baarn!$C$4:$C$38,0)),""),IF(IFERROR(INDEX(Scherpenzeel!$F$4:$F$103,MATCH($A113,Scherpenzeel!$C$4:$C$103,0)),"")&lt;&gt;"",IFERROR(INDEX(Scherpenzeel!$F$4:$F$103,MATCH($A113,Scherpenzeel!$C$4:$C$103,0)),""),IF(IFERROR(INDEX('4'!$F$4:$F$103,MATCH($A113,'4'!$C$4:$C$103,0)),"")&lt;&gt;"",IFERROR(INDEX('4'!$F$4:$F$103,MATCH($A113,'4'!$C$4:$C$103,0)),""),IFERROR(INDEX('5'!$F$4:$F$103,MATCH($A113,'5'!$C$4:$C$103,0)),""))))))</f>
        <v/>
      </c>
      <c r="C113" s="13" t="str">
        <f>IF($A113="","",IF(IFERROR(INDEX(Barneveld!$D$4:$D$36,MATCH($A113,Barneveld!$C$4:$C$36,0)),"")&lt;&gt;"",IFERROR(INDEX(Barneveld!$D$4:$D$36,MATCH($A113,Barneveld!$C$4:$C$36,0)),""),IF(IFERROR(INDEX(Baarn!$E$4:$E$38,MATCH($A113,Baarn!$C$4:$C$38,0)),"")&lt;&gt;"",IFERROR(INDEX(Baarn!$E$4:$E$38,MATCH($A113,Baarn!$C$4:$C$38,0)),""),IF(IFERROR(INDEX(Scherpenzeel!$E$4:$E$103,MATCH($A113,Scherpenzeel!$C$4:$C$103,0)),"")&lt;&gt;"",IFERROR(INDEX(Scherpenzeel!$E$4:$E$103,MATCH($A113,Scherpenzeel!$C$4:$C$103,0)),""),IF(IFERROR(INDEX('4'!$E$4:$E$103,MATCH($A113,'4'!$C$4:$C$103,0)),"")&lt;&gt;"",IFERROR(INDEX('4'!$E$4:$E$103,MATCH($A113,'4'!$C$4:$C$103,0)),""),IFERROR(INDEX('5'!$E$4:$E$103,MATCH($A113,'5'!$C$4:$C$103,0)),""))))))</f>
        <v/>
      </c>
      <c r="D113" s="24" t="str">
        <f>IF($A113="","",IFERROR(INDEX(Barneveld!$A$4:$A$36,MATCH($A113,Barneveld!$C$4:$C$36,0)),""))</f>
        <v/>
      </c>
      <c r="E113" s="15">
        <f>IF($A113="",0,IFERROR(INDEX(Barneveld!$H$4:$H$36,MATCH($A113,Barneveld!$C$4:$C$36,0)),0))</f>
        <v>0</v>
      </c>
      <c r="F113" s="24" t="str">
        <f>IF($A113="","",IFERROR(INDEX(Baarn!$A$4:$A$38,MATCH($A113,Baarn!$C$4:$C$38,0)),""))</f>
        <v/>
      </c>
      <c r="G113" s="15">
        <f>IF($A113="",0,IFERROR(INDEX(Baarn!$I$4:$I$38,MATCH($A113,Baarn!$C$4:$C$38,0)),0))</f>
        <v>0</v>
      </c>
      <c r="H113" s="24" t="str">
        <f>IF($A113="","",IFERROR(INDEX(Scherpenzeel!$A$4:$A$103,MATCH($A113,Scherpenzeel!$C$4:$C$103,0)),""))</f>
        <v/>
      </c>
      <c r="I113" s="15">
        <f>IF($A113="",0,IFERROR(INDEX(Scherpenzeel!$I$4:$I$103,MATCH($A113,Scherpenzeel!$C$4:$C$103,0)),0))</f>
        <v>0</v>
      </c>
      <c r="J113" s="24" t="str">
        <f>IF($A113="","",IFERROR(INDEX('4'!$A$4:$A$103,MATCH($A113,'4'!$C$4:$C$103,0)),""))</f>
        <v/>
      </c>
      <c r="K113" s="15">
        <f>IF($A113="",0,IFERROR(INDEX('4'!$I$4:$I$103,MATCH($A113,'4'!$C$4:$C$103,0)),0))</f>
        <v>0</v>
      </c>
      <c r="L113" s="24" t="str">
        <f>IF($A113="","",IFERROR(INDEX('5'!$A$4:$A$103,MATCH($A113,'5'!$C$4:$C$103,0)),""))</f>
        <v/>
      </c>
      <c r="M113" s="15">
        <f>IF($A113="",0,IFERROR(INDEX('5'!$I$4:$I$103,MATCH($A113,'5'!$C$4:$C$103,0)),0))</f>
        <v>0</v>
      </c>
      <c r="N113" s="25" t="str">
        <f>IF($A113="","",E113+G113+I113+K113+M113)</f>
        <v/>
      </c>
      <c r="O113" s="26" t="str">
        <f>IF(OR($A113="",N113="",N113=0),"",RANK(N113,$N$4:$N$203,0))</f>
        <v/>
      </c>
      <c r="AA113">
        <f>Scherpenzeel!C48</f>
        <v>0</v>
      </c>
      <c r="AB113">
        <f>IF(AA113="",0,IF(COUNTIF($AA$1:AA113,AA113)=1,1,0))</f>
        <v>0</v>
      </c>
      <c r="AC113" t="str">
        <f>IF(AB113=1,COUNTIF($AB$1:AB113,1),"")</f>
        <v/>
      </c>
    </row>
    <row r="114" spans="1:29" x14ac:dyDescent="0.25">
      <c r="A114" s="13" t="str">
        <f>IFERROR(INDEX($AA$1:$AA$368,MATCH(111,$AC$1:$AC$368,0)),"")</f>
        <v/>
      </c>
      <c r="B114" s="13" t="str">
        <f>IF($A114="","",IF(IFERROR(INDEX(Barneveld!$E$4:$E$36,MATCH($A114,Barneveld!$C$4:$C$36,0)),"")&lt;&gt;"",IFERROR(INDEX(Barneveld!$E$4:$E$36,MATCH($A114,Barneveld!$C$4:$C$36,0)),""),IF(IFERROR(INDEX(Baarn!$F$4:$F$38,MATCH($A114,Baarn!$C$4:$C$38,0)),"")&lt;&gt;"",IFERROR(INDEX(Baarn!$F$4:$F$38,MATCH($A114,Baarn!$C$4:$C$38,0)),""),IF(IFERROR(INDEX(Scherpenzeel!$F$4:$F$103,MATCH($A114,Scherpenzeel!$C$4:$C$103,0)),"")&lt;&gt;"",IFERROR(INDEX(Scherpenzeel!$F$4:$F$103,MATCH($A114,Scherpenzeel!$C$4:$C$103,0)),""),IF(IFERROR(INDEX('4'!$F$4:$F$103,MATCH($A114,'4'!$C$4:$C$103,0)),"")&lt;&gt;"",IFERROR(INDEX('4'!$F$4:$F$103,MATCH($A114,'4'!$C$4:$C$103,0)),""),IFERROR(INDEX('5'!$F$4:$F$103,MATCH($A114,'5'!$C$4:$C$103,0)),""))))))</f>
        <v/>
      </c>
      <c r="C114" s="13" t="str">
        <f>IF($A114="","",IF(IFERROR(INDEX(Barneveld!$D$4:$D$36,MATCH($A114,Barneveld!$C$4:$C$36,0)),"")&lt;&gt;"",IFERROR(INDEX(Barneveld!$D$4:$D$36,MATCH($A114,Barneveld!$C$4:$C$36,0)),""),IF(IFERROR(INDEX(Baarn!$E$4:$E$38,MATCH($A114,Baarn!$C$4:$C$38,0)),"")&lt;&gt;"",IFERROR(INDEX(Baarn!$E$4:$E$38,MATCH($A114,Baarn!$C$4:$C$38,0)),""),IF(IFERROR(INDEX(Scherpenzeel!$E$4:$E$103,MATCH($A114,Scherpenzeel!$C$4:$C$103,0)),"")&lt;&gt;"",IFERROR(INDEX(Scherpenzeel!$E$4:$E$103,MATCH($A114,Scherpenzeel!$C$4:$C$103,0)),""),IF(IFERROR(INDEX('4'!$E$4:$E$103,MATCH($A114,'4'!$C$4:$C$103,0)),"")&lt;&gt;"",IFERROR(INDEX('4'!$E$4:$E$103,MATCH($A114,'4'!$C$4:$C$103,0)),""),IFERROR(INDEX('5'!$E$4:$E$103,MATCH($A114,'5'!$C$4:$C$103,0)),""))))))</f>
        <v/>
      </c>
      <c r="D114" s="24" t="str">
        <f>IF($A114="","",IFERROR(INDEX(Barneveld!$A$4:$A$36,MATCH($A114,Barneveld!$C$4:$C$36,0)),""))</f>
        <v/>
      </c>
      <c r="E114" s="15">
        <f>IF($A114="",0,IFERROR(INDEX(Barneveld!$H$4:$H$36,MATCH($A114,Barneveld!$C$4:$C$36,0)),0))</f>
        <v>0</v>
      </c>
      <c r="F114" s="24" t="str">
        <f>IF($A114="","",IFERROR(INDEX(Baarn!$A$4:$A$38,MATCH($A114,Baarn!$C$4:$C$38,0)),""))</f>
        <v/>
      </c>
      <c r="G114" s="15">
        <f>IF($A114="",0,IFERROR(INDEX(Baarn!$I$4:$I$38,MATCH($A114,Baarn!$C$4:$C$38,0)),0))</f>
        <v>0</v>
      </c>
      <c r="H114" s="24" t="str">
        <f>IF($A114="","",IFERROR(INDEX(Scherpenzeel!$A$4:$A$103,MATCH($A114,Scherpenzeel!$C$4:$C$103,0)),""))</f>
        <v/>
      </c>
      <c r="I114" s="15">
        <f>IF($A114="",0,IFERROR(INDEX(Scherpenzeel!$I$4:$I$103,MATCH($A114,Scherpenzeel!$C$4:$C$103,0)),0))</f>
        <v>0</v>
      </c>
      <c r="J114" s="24" t="str">
        <f>IF($A114="","",IFERROR(INDEX('4'!$A$4:$A$103,MATCH($A114,'4'!$C$4:$C$103,0)),""))</f>
        <v/>
      </c>
      <c r="K114" s="15">
        <f>IF($A114="",0,IFERROR(INDEX('4'!$I$4:$I$103,MATCH($A114,'4'!$C$4:$C$103,0)),0))</f>
        <v>0</v>
      </c>
      <c r="L114" s="24" t="str">
        <f>IF($A114="","",IFERROR(INDEX('5'!$A$4:$A$103,MATCH($A114,'5'!$C$4:$C$103,0)),""))</f>
        <v/>
      </c>
      <c r="M114" s="15">
        <f>IF($A114="",0,IFERROR(INDEX('5'!$I$4:$I$103,MATCH($A114,'5'!$C$4:$C$103,0)),0))</f>
        <v>0</v>
      </c>
      <c r="N114" s="25" t="str">
        <f>IF($A114="","",E114+G114+I114+K114+M114)</f>
        <v/>
      </c>
      <c r="O114" s="26" t="str">
        <f>IF(OR($A114="",N114="",N114=0),"",RANK(N114,$N$4:$N$203,0))</f>
        <v/>
      </c>
      <c r="AA114">
        <f>Scherpenzeel!C49</f>
        <v>0</v>
      </c>
      <c r="AB114">
        <f>IF(AA114="",0,IF(COUNTIF($AA$1:AA114,AA114)=1,1,0))</f>
        <v>0</v>
      </c>
      <c r="AC114" t="str">
        <f>IF(AB114=1,COUNTIF($AB$1:AB114,1),"")</f>
        <v/>
      </c>
    </row>
    <row r="115" spans="1:29" x14ac:dyDescent="0.25">
      <c r="A115" s="13" t="str">
        <f>IFERROR(INDEX($AA$1:$AA$368,MATCH(112,$AC$1:$AC$368,0)),"")</f>
        <v/>
      </c>
      <c r="B115" s="13" t="str">
        <f>IF($A115="","",IF(IFERROR(INDEX(Barneveld!$E$4:$E$36,MATCH($A115,Barneveld!$C$4:$C$36,0)),"")&lt;&gt;"",IFERROR(INDEX(Barneveld!$E$4:$E$36,MATCH($A115,Barneveld!$C$4:$C$36,0)),""),IF(IFERROR(INDEX(Baarn!$F$4:$F$38,MATCH($A115,Baarn!$C$4:$C$38,0)),"")&lt;&gt;"",IFERROR(INDEX(Baarn!$F$4:$F$38,MATCH($A115,Baarn!$C$4:$C$38,0)),""),IF(IFERROR(INDEX(Scherpenzeel!$F$4:$F$103,MATCH($A115,Scherpenzeel!$C$4:$C$103,0)),"")&lt;&gt;"",IFERROR(INDEX(Scherpenzeel!$F$4:$F$103,MATCH($A115,Scherpenzeel!$C$4:$C$103,0)),""),IF(IFERROR(INDEX('4'!$F$4:$F$103,MATCH($A115,'4'!$C$4:$C$103,0)),"")&lt;&gt;"",IFERROR(INDEX('4'!$F$4:$F$103,MATCH($A115,'4'!$C$4:$C$103,0)),""),IFERROR(INDEX('5'!$F$4:$F$103,MATCH($A115,'5'!$C$4:$C$103,0)),""))))))</f>
        <v/>
      </c>
      <c r="C115" s="13" t="str">
        <f>IF($A115="","",IF(IFERROR(INDEX(Barneveld!$D$4:$D$36,MATCH($A115,Barneveld!$C$4:$C$36,0)),"")&lt;&gt;"",IFERROR(INDEX(Barneveld!$D$4:$D$36,MATCH($A115,Barneveld!$C$4:$C$36,0)),""),IF(IFERROR(INDEX(Baarn!$E$4:$E$38,MATCH($A115,Baarn!$C$4:$C$38,0)),"")&lt;&gt;"",IFERROR(INDEX(Baarn!$E$4:$E$38,MATCH($A115,Baarn!$C$4:$C$38,0)),""),IF(IFERROR(INDEX(Scherpenzeel!$E$4:$E$103,MATCH($A115,Scherpenzeel!$C$4:$C$103,0)),"")&lt;&gt;"",IFERROR(INDEX(Scherpenzeel!$E$4:$E$103,MATCH($A115,Scherpenzeel!$C$4:$C$103,0)),""),IF(IFERROR(INDEX('4'!$E$4:$E$103,MATCH($A115,'4'!$C$4:$C$103,0)),"")&lt;&gt;"",IFERROR(INDEX('4'!$E$4:$E$103,MATCH($A115,'4'!$C$4:$C$103,0)),""),IFERROR(INDEX('5'!$E$4:$E$103,MATCH($A115,'5'!$C$4:$C$103,0)),""))))))</f>
        <v/>
      </c>
      <c r="D115" s="24" t="str">
        <f>IF($A115="","",IFERROR(INDEX(Barneveld!$A$4:$A$36,MATCH($A115,Barneveld!$C$4:$C$36,0)),""))</f>
        <v/>
      </c>
      <c r="E115" s="15">
        <f>IF($A115="",0,IFERROR(INDEX(Barneveld!$H$4:$H$36,MATCH($A115,Barneveld!$C$4:$C$36,0)),0))</f>
        <v>0</v>
      </c>
      <c r="F115" s="24" t="str">
        <f>IF($A115="","",IFERROR(INDEX(Baarn!$A$4:$A$38,MATCH($A115,Baarn!$C$4:$C$38,0)),""))</f>
        <v/>
      </c>
      <c r="G115" s="15">
        <f>IF($A115="",0,IFERROR(INDEX(Baarn!$I$4:$I$38,MATCH($A115,Baarn!$C$4:$C$38,0)),0))</f>
        <v>0</v>
      </c>
      <c r="H115" s="24" t="str">
        <f>IF($A115="","",IFERROR(INDEX(Scherpenzeel!$A$4:$A$103,MATCH($A115,Scherpenzeel!$C$4:$C$103,0)),""))</f>
        <v/>
      </c>
      <c r="I115" s="15">
        <f>IF($A115="",0,IFERROR(INDEX(Scherpenzeel!$I$4:$I$103,MATCH($A115,Scherpenzeel!$C$4:$C$103,0)),0))</f>
        <v>0</v>
      </c>
      <c r="J115" s="24" t="str">
        <f>IF($A115="","",IFERROR(INDEX('4'!$A$4:$A$103,MATCH($A115,'4'!$C$4:$C$103,0)),""))</f>
        <v/>
      </c>
      <c r="K115" s="15">
        <f>IF($A115="",0,IFERROR(INDEX('4'!$I$4:$I$103,MATCH($A115,'4'!$C$4:$C$103,0)),0))</f>
        <v>0</v>
      </c>
      <c r="L115" s="24" t="str">
        <f>IF($A115="","",IFERROR(INDEX('5'!$A$4:$A$103,MATCH($A115,'5'!$C$4:$C$103,0)),""))</f>
        <v/>
      </c>
      <c r="M115" s="15">
        <f>IF($A115="",0,IFERROR(INDEX('5'!$I$4:$I$103,MATCH($A115,'5'!$C$4:$C$103,0)),0))</f>
        <v>0</v>
      </c>
      <c r="N115" s="25" t="str">
        <f>IF($A115="","",E115+G115+I115+K115+M115)</f>
        <v/>
      </c>
      <c r="O115" s="26" t="str">
        <f>IF(OR($A115="",N115="",N115=0),"",RANK(N115,$N$4:$N$203,0))</f>
        <v/>
      </c>
      <c r="AA115">
        <f>Scherpenzeel!C50</f>
        <v>0</v>
      </c>
      <c r="AB115">
        <f>IF(AA115="",0,IF(COUNTIF($AA$1:AA115,AA115)=1,1,0))</f>
        <v>0</v>
      </c>
      <c r="AC115" t="str">
        <f>IF(AB115=1,COUNTIF($AB$1:AB115,1),"")</f>
        <v/>
      </c>
    </row>
    <row r="116" spans="1:29" x14ac:dyDescent="0.25">
      <c r="A116" s="13" t="str">
        <f>IFERROR(INDEX($AA$1:$AA$368,MATCH(113,$AC$1:$AC$368,0)),"")</f>
        <v/>
      </c>
      <c r="B116" s="13" t="str">
        <f>IF($A116="","",IF(IFERROR(INDEX(Barneveld!$E$4:$E$36,MATCH($A116,Barneveld!$C$4:$C$36,0)),"")&lt;&gt;"",IFERROR(INDEX(Barneveld!$E$4:$E$36,MATCH($A116,Barneveld!$C$4:$C$36,0)),""),IF(IFERROR(INDEX(Baarn!$F$4:$F$38,MATCH($A116,Baarn!$C$4:$C$38,0)),"")&lt;&gt;"",IFERROR(INDEX(Baarn!$F$4:$F$38,MATCH($A116,Baarn!$C$4:$C$38,0)),""),IF(IFERROR(INDEX(Scherpenzeel!$F$4:$F$103,MATCH($A116,Scherpenzeel!$C$4:$C$103,0)),"")&lt;&gt;"",IFERROR(INDEX(Scherpenzeel!$F$4:$F$103,MATCH($A116,Scherpenzeel!$C$4:$C$103,0)),""),IF(IFERROR(INDEX('4'!$F$4:$F$103,MATCH($A116,'4'!$C$4:$C$103,0)),"")&lt;&gt;"",IFERROR(INDEX('4'!$F$4:$F$103,MATCH($A116,'4'!$C$4:$C$103,0)),""),IFERROR(INDEX('5'!$F$4:$F$103,MATCH($A116,'5'!$C$4:$C$103,0)),""))))))</f>
        <v/>
      </c>
      <c r="C116" s="13" t="str">
        <f>IF($A116="","",IF(IFERROR(INDEX(Barneveld!$D$4:$D$36,MATCH($A116,Barneveld!$C$4:$C$36,0)),"")&lt;&gt;"",IFERROR(INDEX(Barneveld!$D$4:$D$36,MATCH($A116,Barneveld!$C$4:$C$36,0)),""),IF(IFERROR(INDEX(Baarn!$E$4:$E$38,MATCH($A116,Baarn!$C$4:$C$38,0)),"")&lt;&gt;"",IFERROR(INDEX(Baarn!$E$4:$E$38,MATCH($A116,Baarn!$C$4:$C$38,0)),""),IF(IFERROR(INDEX(Scherpenzeel!$E$4:$E$103,MATCH($A116,Scherpenzeel!$C$4:$C$103,0)),"")&lt;&gt;"",IFERROR(INDEX(Scherpenzeel!$E$4:$E$103,MATCH($A116,Scherpenzeel!$C$4:$C$103,0)),""),IF(IFERROR(INDEX('4'!$E$4:$E$103,MATCH($A116,'4'!$C$4:$C$103,0)),"")&lt;&gt;"",IFERROR(INDEX('4'!$E$4:$E$103,MATCH($A116,'4'!$C$4:$C$103,0)),""),IFERROR(INDEX('5'!$E$4:$E$103,MATCH($A116,'5'!$C$4:$C$103,0)),""))))))</f>
        <v/>
      </c>
      <c r="D116" s="24" t="str">
        <f>IF($A116="","",IFERROR(INDEX(Barneveld!$A$4:$A$36,MATCH($A116,Barneveld!$C$4:$C$36,0)),""))</f>
        <v/>
      </c>
      <c r="E116" s="15">
        <f>IF($A116="",0,IFERROR(INDEX(Barneveld!$H$4:$H$36,MATCH($A116,Barneveld!$C$4:$C$36,0)),0))</f>
        <v>0</v>
      </c>
      <c r="F116" s="24" t="str">
        <f>IF($A116="","",IFERROR(INDEX(Baarn!$A$4:$A$38,MATCH($A116,Baarn!$C$4:$C$38,0)),""))</f>
        <v/>
      </c>
      <c r="G116" s="15">
        <f>IF($A116="",0,IFERROR(INDEX(Baarn!$I$4:$I$38,MATCH($A116,Baarn!$C$4:$C$38,0)),0))</f>
        <v>0</v>
      </c>
      <c r="H116" s="24" t="str">
        <f>IF($A116="","",IFERROR(INDEX(Scherpenzeel!$A$4:$A$103,MATCH($A116,Scherpenzeel!$C$4:$C$103,0)),""))</f>
        <v/>
      </c>
      <c r="I116" s="15">
        <f>IF($A116="",0,IFERROR(INDEX(Scherpenzeel!$I$4:$I$103,MATCH($A116,Scherpenzeel!$C$4:$C$103,0)),0))</f>
        <v>0</v>
      </c>
      <c r="J116" s="24" t="str">
        <f>IF($A116="","",IFERROR(INDEX('4'!$A$4:$A$103,MATCH($A116,'4'!$C$4:$C$103,0)),""))</f>
        <v/>
      </c>
      <c r="K116" s="15">
        <f>IF($A116="",0,IFERROR(INDEX('4'!$I$4:$I$103,MATCH($A116,'4'!$C$4:$C$103,0)),0))</f>
        <v>0</v>
      </c>
      <c r="L116" s="24" t="str">
        <f>IF($A116="","",IFERROR(INDEX('5'!$A$4:$A$103,MATCH($A116,'5'!$C$4:$C$103,0)),""))</f>
        <v/>
      </c>
      <c r="M116" s="15">
        <f>IF($A116="",0,IFERROR(INDEX('5'!$I$4:$I$103,MATCH($A116,'5'!$C$4:$C$103,0)),0))</f>
        <v>0</v>
      </c>
      <c r="N116" s="25" t="str">
        <f>IF($A116="","",E116+G116+I116+K116+M116)</f>
        <v/>
      </c>
      <c r="O116" s="26" t="str">
        <f>IF(OR($A116="",N116="",N116=0),"",RANK(N116,$N$4:$N$203,0))</f>
        <v/>
      </c>
      <c r="AA116">
        <f>Scherpenzeel!C51</f>
        <v>0</v>
      </c>
      <c r="AB116">
        <f>IF(AA116="",0,IF(COUNTIF($AA$1:AA116,AA116)=1,1,0))</f>
        <v>0</v>
      </c>
      <c r="AC116" t="str">
        <f>IF(AB116=1,COUNTIF($AB$1:AB116,1),"")</f>
        <v/>
      </c>
    </row>
    <row r="117" spans="1:29" x14ac:dyDescent="0.25">
      <c r="A117" s="13" t="str">
        <f>IFERROR(INDEX($AA$1:$AA$368,MATCH(114,$AC$1:$AC$368,0)),"")</f>
        <v/>
      </c>
      <c r="B117" s="13" t="str">
        <f>IF($A117="","",IF(IFERROR(INDEX(Barneveld!$E$4:$E$36,MATCH($A117,Barneveld!$C$4:$C$36,0)),"")&lt;&gt;"",IFERROR(INDEX(Barneveld!$E$4:$E$36,MATCH($A117,Barneveld!$C$4:$C$36,0)),""),IF(IFERROR(INDEX(Baarn!$F$4:$F$38,MATCH($A117,Baarn!$C$4:$C$38,0)),"")&lt;&gt;"",IFERROR(INDEX(Baarn!$F$4:$F$38,MATCH($A117,Baarn!$C$4:$C$38,0)),""),IF(IFERROR(INDEX(Scherpenzeel!$F$4:$F$103,MATCH($A117,Scherpenzeel!$C$4:$C$103,0)),"")&lt;&gt;"",IFERROR(INDEX(Scherpenzeel!$F$4:$F$103,MATCH($A117,Scherpenzeel!$C$4:$C$103,0)),""),IF(IFERROR(INDEX('4'!$F$4:$F$103,MATCH($A117,'4'!$C$4:$C$103,0)),"")&lt;&gt;"",IFERROR(INDEX('4'!$F$4:$F$103,MATCH($A117,'4'!$C$4:$C$103,0)),""),IFERROR(INDEX('5'!$F$4:$F$103,MATCH($A117,'5'!$C$4:$C$103,0)),""))))))</f>
        <v/>
      </c>
      <c r="C117" s="13" t="str">
        <f>IF($A117="","",IF(IFERROR(INDEX(Barneveld!$D$4:$D$36,MATCH($A117,Barneveld!$C$4:$C$36,0)),"")&lt;&gt;"",IFERROR(INDEX(Barneveld!$D$4:$D$36,MATCH($A117,Barneveld!$C$4:$C$36,0)),""),IF(IFERROR(INDEX(Baarn!$E$4:$E$38,MATCH($A117,Baarn!$C$4:$C$38,0)),"")&lt;&gt;"",IFERROR(INDEX(Baarn!$E$4:$E$38,MATCH($A117,Baarn!$C$4:$C$38,0)),""),IF(IFERROR(INDEX(Scherpenzeel!$E$4:$E$103,MATCH($A117,Scherpenzeel!$C$4:$C$103,0)),"")&lt;&gt;"",IFERROR(INDEX(Scherpenzeel!$E$4:$E$103,MATCH($A117,Scherpenzeel!$C$4:$C$103,0)),""),IF(IFERROR(INDEX('4'!$E$4:$E$103,MATCH($A117,'4'!$C$4:$C$103,0)),"")&lt;&gt;"",IFERROR(INDEX('4'!$E$4:$E$103,MATCH($A117,'4'!$C$4:$C$103,0)),""),IFERROR(INDEX('5'!$E$4:$E$103,MATCH($A117,'5'!$C$4:$C$103,0)),""))))))</f>
        <v/>
      </c>
      <c r="D117" s="24" t="str">
        <f>IF($A117="","",IFERROR(INDEX(Barneveld!$A$4:$A$36,MATCH($A117,Barneveld!$C$4:$C$36,0)),""))</f>
        <v/>
      </c>
      <c r="E117" s="15">
        <f>IF($A117="",0,IFERROR(INDEX(Barneveld!$H$4:$H$36,MATCH($A117,Barneveld!$C$4:$C$36,0)),0))</f>
        <v>0</v>
      </c>
      <c r="F117" s="24" t="str">
        <f>IF($A117="","",IFERROR(INDEX(Baarn!$A$4:$A$38,MATCH($A117,Baarn!$C$4:$C$38,0)),""))</f>
        <v/>
      </c>
      <c r="G117" s="15">
        <f>IF($A117="",0,IFERROR(INDEX(Baarn!$I$4:$I$38,MATCH($A117,Baarn!$C$4:$C$38,0)),0))</f>
        <v>0</v>
      </c>
      <c r="H117" s="24" t="str">
        <f>IF($A117="","",IFERROR(INDEX(Scherpenzeel!$A$4:$A$103,MATCH($A117,Scherpenzeel!$C$4:$C$103,0)),""))</f>
        <v/>
      </c>
      <c r="I117" s="15">
        <f>IF($A117="",0,IFERROR(INDEX(Scherpenzeel!$I$4:$I$103,MATCH($A117,Scherpenzeel!$C$4:$C$103,0)),0))</f>
        <v>0</v>
      </c>
      <c r="J117" s="24" t="str">
        <f>IF($A117="","",IFERROR(INDEX('4'!$A$4:$A$103,MATCH($A117,'4'!$C$4:$C$103,0)),""))</f>
        <v/>
      </c>
      <c r="K117" s="15">
        <f>IF($A117="",0,IFERROR(INDEX('4'!$I$4:$I$103,MATCH($A117,'4'!$C$4:$C$103,0)),0))</f>
        <v>0</v>
      </c>
      <c r="L117" s="24" t="str">
        <f>IF($A117="","",IFERROR(INDEX('5'!$A$4:$A$103,MATCH($A117,'5'!$C$4:$C$103,0)),""))</f>
        <v/>
      </c>
      <c r="M117" s="15">
        <f>IF($A117="",0,IFERROR(INDEX('5'!$I$4:$I$103,MATCH($A117,'5'!$C$4:$C$103,0)),0))</f>
        <v>0</v>
      </c>
      <c r="N117" s="25" t="str">
        <f>IF($A117="","",E117+G117+I117+K117+M117)</f>
        <v/>
      </c>
      <c r="O117" s="26" t="str">
        <f>IF(OR($A117="",N117="",N117=0),"",RANK(N117,$N$4:$N$203,0))</f>
        <v/>
      </c>
      <c r="AA117">
        <f>Scherpenzeel!C52</f>
        <v>0</v>
      </c>
      <c r="AB117">
        <f>IF(AA117="",0,IF(COUNTIF($AA$1:AA117,AA117)=1,1,0))</f>
        <v>0</v>
      </c>
      <c r="AC117" t="str">
        <f>IF(AB117=1,COUNTIF($AB$1:AB117,1),"")</f>
        <v/>
      </c>
    </row>
    <row r="118" spans="1:29" x14ac:dyDescent="0.25">
      <c r="A118" s="13" t="str">
        <f>IFERROR(INDEX($AA$1:$AA$368,MATCH(115,$AC$1:$AC$368,0)),"")</f>
        <v/>
      </c>
      <c r="B118" s="13" t="str">
        <f>IF($A118="","",IF(IFERROR(INDEX(Barneveld!$E$4:$E$36,MATCH($A118,Barneveld!$C$4:$C$36,0)),"")&lt;&gt;"",IFERROR(INDEX(Barneveld!$E$4:$E$36,MATCH($A118,Barneveld!$C$4:$C$36,0)),""),IF(IFERROR(INDEX(Baarn!$F$4:$F$38,MATCH($A118,Baarn!$C$4:$C$38,0)),"")&lt;&gt;"",IFERROR(INDEX(Baarn!$F$4:$F$38,MATCH($A118,Baarn!$C$4:$C$38,0)),""),IF(IFERROR(INDEX(Scherpenzeel!$F$4:$F$103,MATCH($A118,Scherpenzeel!$C$4:$C$103,0)),"")&lt;&gt;"",IFERROR(INDEX(Scherpenzeel!$F$4:$F$103,MATCH($A118,Scherpenzeel!$C$4:$C$103,0)),""),IF(IFERROR(INDEX('4'!$F$4:$F$103,MATCH($A118,'4'!$C$4:$C$103,0)),"")&lt;&gt;"",IFERROR(INDEX('4'!$F$4:$F$103,MATCH($A118,'4'!$C$4:$C$103,0)),""),IFERROR(INDEX('5'!$F$4:$F$103,MATCH($A118,'5'!$C$4:$C$103,0)),""))))))</f>
        <v/>
      </c>
      <c r="C118" s="13" t="str">
        <f>IF($A118="","",IF(IFERROR(INDEX(Barneveld!$D$4:$D$36,MATCH($A118,Barneveld!$C$4:$C$36,0)),"")&lt;&gt;"",IFERROR(INDEX(Barneveld!$D$4:$D$36,MATCH($A118,Barneveld!$C$4:$C$36,0)),""),IF(IFERROR(INDEX(Baarn!$E$4:$E$38,MATCH($A118,Baarn!$C$4:$C$38,0)),"")&lt;&gt;"",IFERROR(INDEX(Baarn!$E$4:$E$38,MATCH($A118,Baarn!$C$4:$C$38,0)),""),IF(IFERROR(INDEX(Scherpenzeel!$E$4:$E$103,MATCH($A118,Scherpenzeel!$C$4:$C$103,0)),"")&lt;&gt;"",IFERROR(INDEX(Scherpenzeel!$E$4:$E$103,MATCH($A118,Scherpenzeel!$C$4:$C$103,0)),""),IF(IFERROR(INDEX('4'!$E$4:$E$103,MATCH($A118,'4'!$C$4:$C$103,0)),"")&lt;&gt;"",IFERROR(INDEX('4'!$E$4:$E$103,MATCH($A118,'4'!$C$4:$C$103,0)),""),IFERROR(INDEX('5'!$E$4:$E$103,MATCH($A118,'5'!$C$4:$C$103,0)),""))))))</f>
        <v/>
      </c>
      <c r="D118" s="24" t="str">
        <f>IF($A118="","",IFERROR(INDEX(Barneveld!$A$4:$A$36,MATCH($A118,Barneveld!$C$4:$C$36,0)),""))</f>
        <v/>
      </c>
      <c r="E118" s="15">
        <f>IF($A118="",0,IFERROR(INDEX(Barneveld!$H$4:$H$36,MATCH($A118,Barneveld!$C$4:$C$36,0)),0))</f>
        <v>0</v>
      </c>
      <c r="F118" s="24" t="str">
        <f>IF($A118="","",IFERROR(INDEX(Baarn!$A$4:$A$38,MATCH($A118,Baarn!$C$4:$C$38,0)),""))</f>
        <v/>
      </c>
      <c r="G118" s="15">
        <f>IF($A118="",0,IFERROR(INDEX(Baarn!$I$4:$I$38,MATCH($A118,Baarn!$C$4:$C$38,0)),0))</f>
        <v>0</v>
      </c>
      <c r="H118" s="24" t="str">
        <f>IF($A118="","",IFERROR(INDEX(Scherpenzeel!$A$4:$A$103,MATCH($A118,Scherpenzeel!$C$4:$C$103,0)),""))</f>
        <v/>
      </c>
      <c r="I118" s="15">
        <f>IF($A118="",0,IFERROR(INDEX(Scherpenzeel!$I$4:$I$103,MATCH($A118,Scherpenzeel!$C$4:$C$103,0)),0))</f>
        <v>0</v>
      </c>
      <c r="J118" s="24" t="str">
        <f>IF($A118="","",IFERROR(INDEX('4'!$A$4:$A$103,MATCH($A118,'4'!$C$4:$C$103,0)),""))</f>
        <v/>
      </c>
      <c r="K118" s="15">
        <f>IF($A118="",0,IFERROR(INDEX('4'!$I$4:$I$103,MATCH($A118,'4'!$C$4:$C$103,0)),0))</f>
        <v>0</v>
      </c>
      <c r="L118" s="24" t="str">
        <f>IF($A118="","",IFERROR(INDEX('5'!$A$4:$A$103,MATCH($A118,'5'!$C$4:$C$103,0)),""))</f>
        <v/>
      </c>
      <c r="M118" s="15">
        <f>IF($A118="",0,IFERROR(INDEX('5'!$I$4:$I$103,MATCH($A118,'5'!$C$4:$C$103,0)),0))</f>
        <v>0</v>
      </c>
      <c r="N118" s="25" t="str">
        <f>IF($A118="","",E118+G118+I118+K118+M118)</f>
        <v/>
      </c>
      <c r="O118" s="26" t="str">
        <f>IF(OR($A118="",N118="",N118=0),"",RANK(N118,$N$4:$N$203,0))</f>
        <v/>
      </c>
      <c r="AA118">
        <f>Scherpenzeel!C53</f>
        <v>0</v>
      </c>
      <c r="AB118">
        <f>IF(AA118="",0,IF(COUNTIF($AA$1:AA118,AA118)=1,1,0))</f>
        <v>0</v>
      </c>
      <c r="AC118" t="str">
        <f>IF(AB118=1,COUNTIF($AB$1:AB118,1),"")</f>
        <v/>
      </c>
    </row>
    <row r="119" spans="1:29" x14ac:dyDescent="0.25">
      <c r="A119" s="13" t="str">
        <f>IFERROR(INDEX($AA$1:$AA$368,MATCH(116,$AC$1:$AC$368,0)),"")</f>
        <v/>
      </c>
      <c r="B119" s="13" t="str">
        <f>IF($A119="","",IF(IFERROR(INDEX(Barneveld!$E$4:$E$36,MATCH($A119,Barneveld!$C$4:$C$36,0)),"")&lt;&gt;"",IFERROR(INDEX(Barneveld!$E$4:$E$36,MATCH($A119,Barneveld!$C$4:$C$36,0)),""),IF(IFERROR(INDEX(Baarn!$F$4:$F$38,MATCH($A119,Baarn!$C$4:$C$38,0)),"")&lt;&gt;"",IFERROR(INDEX(Baarn!$F$4:$F$38,MATCH($A119,Baarn!$C$4:$C$38,0)),""),IF(IFERROR(INDEX(Scherpenzeel!$F$4:$F$103,MATCH($A119,Scherpenzeel!$C$4:$C$103,0)),"")&lt;&gt;"",IFERROR(INDEX(Scherpenzeel!$F$4:$F$103,MATCH($A119,Scherpenzeel!$C$4:$C$103,0)),""),IF(IFERROR(INDEX('4'!$F$4:$F$103,MATCH($A119,'4'!$C$4:$C$103,0)),"")&lt;&gt;"",IFERROR(INDEX('4'!$F$4:$F$103,MATCH($A119,'4'!$C$4:$C$103,0)),""),IFERROR(INDEX('5'!$F$4:$F$103,MATCH($A119,'5'!$C$4:$C$103,0)),""))))))</f>
        <v/>
      </c>
      <c r="C119" s="13" t="str">
        <f>IF($A119="","",IF(IFERROR(INDEX(Barneveld!$D$4:$D$36,MATCH($A119,Barneveld!$C$4:$C$36,0)),"")&lt;&gt;"",IFERROR(INDEX(Barneveld!$D$4:$D$36,MATCH($A119,Barneveld!$C$4:$C$36,0)),""),IF(IFERROR(INDEX(Baarn!$E$4:$E$38,MATCH($A119,Baarn!$C$4:$C$38,0)),"")&lt;&gt;"",IFERROR(INDEX(Baarn!$E$4:$E$38,MATCH($A119,Baarn!$C$4:$C$38,0)),""),IF(IFERROR(INDEX(Scherpenzeel!$E$4:$E$103,MATCH($A119,Scherpenzeel!$C$4:$C$103,0)),"")&lt;&gt;"",IFERROR(INDEX(Scherpenzeel!$E$4:$E$103,MATCH($A119,Scherpenzeel!$C$4:$C$103,0)),""),IF(IFERROR(INDEX('4'!$E$4:$E$103,MATCH($A119,'4'!$C$4:$C$103,0)),"")&lt;&gt;"",IFERROR(INDEX('4'!$E$4:$E$103,MATCH($A119,'4'!$C$4:$C$103,0)),""),IFERROR(INDEX('5'!$E$4:$E$103,MATCH($A119,'5'!$C$4:$C$103,0)),""))))))</f>
        <v/>
      </c>
      <c r="D119" s="24" t="str">
        <f>IF($A119="","",IFERROR(INDEX(Barneveld!$A$4:$A$36,MATCH($A119,Barneveld!$C$4:$C$36,0)),""))</f>
        <v/>
      </c>
      <c r="E119" s="15">
        <f>IF($A119="",0,IFERROR(INDEX(Barneveld!$H$4:$H$36,MATCH($A119,Barneveld!$C$4:$C$36,0)),0))</f>
        <v>0</v>
      </c>
      <c r="F119" s="24" t="str">
        <f>IF($A119="","",IFERROR(INDEX(Baarn!$A$4:$A$38,MATCH($A119,Baarn!$C$4:$C$38,0)),""))</f>
        <v/>
      </c>
      <c r="G119" s="15">
        <f>IF($A119="",0,IFERROR(INDEX(Baarn!$I$4:$I$38,MATCH($A119,Baarn!$C$4:$C$38,0)),0))</f>
        <v>0</v>
      </c>
      <c r="H119" s="24" t="str">
        <f>IF($A119="","",IFERROR(INDEX(Scherpenzeel!$A$4:$A$103,MATCH($A119,Scherpenzeel!$C$4:$C$103,0)),""))</f>
        <v/>
      </c>
      <c r="I119" s="15">
        <f>IF($A119="",0,IFERROR(INDEX(Scherpenzeel!$I$4:$I$103,MATCH($A119,Scherpenzeel!$C$4:$C$103,0)),0))</f>
        <v>0</v>
      </c>
      <c r="J119" s="24" t="str">
        <f>IF($A119="","",IFERROR(INDEX('4'!$A$4:$A$103,MATCH($A119,'4'!$C$4:$C$103,0)),""))</f>
        <v/>
      </c>
      <c r="K119" s="15">
        <f>IF($A119="",0,IFERROR(INDEX('4'!$I$4:$I$103,MATCH($A119,'4'!$C$4:$C$103,0)),0))</f>
        <v>0</v>
      </c>
      <c r="L119" s="24" t="str">
        <f>IF($A119="","",IFERROR(INDEX('5'!$A$4:$A$103,MATCH($A119,'5'!$C$4:$C$103,0)),""))</f>
        <v/>
      </c>
      <c r="M119" s="15">
        <f>IF($A119="",0,IFERROR(INDEX('5'!$I$4:$I$103,MATCH($A119,'5'!$C$4:$C$103,0)),0))</f>
        <v>0</v>
      </c>
      <c r="N119" s="25" t="str">
        <f>IF($A119="","",E119+G119+I119+K119+M119)</f>
        <v/>
      </c>
      <c r="O119" s="26" t="str">
        <f>IF(OR($A119="",N119="",N119=0),"",RANK(N119,$N$4:$N$203,0))</f>
        <v/>
      </c>
      <c r="AA119">
        <f>Scherpenzeel!C54</f>
        <v>0</v>
      </c>
      <c r="AB119">
        <f>IF(AA119="",0,IF(COUNTIF($AA$1:AA119,AA119)=1,1,0))</f>
        <v>0</v>
      </c>
      <c r="AC119" t="str">
        <f>IF(AB119=1,COUNTIF($AB$1:AB119,1),"")</f>
        <v/>
      </c>
    </row>
    <row r="120" spans="1:29" x14ac:dyDescent="0.25">
      <c r="A120" s="13" t="str">
        <f>IFERROR(INDEX($AA$1:$AA$368,MATCH(117,$AC$1:$AC$368,0)),"")</f>
        <v/>
      </c>
      <c r="B120" s="13" t="str">
        <f>IF($A120="","",IF(IFERROR(INDEX(Barneveld!$E$4:$E$36,MATCH($A120,Barneveld!$C$4:$C$36,0)),"")&lt;&gt;"",IFERROR(INDEX(Barneveld!$E$4:$E$36,MATCH($A120,Barneveld!$C$4:$C$36,0)),""),IF(IFERROR(INDEX(Baarn!$F$4:$F$38,MATCH($A120,Baarn!$C$4:$C$38,0)),"")&lt;&gt;"",IFERROR(INDEX(Baarn!$F$4:$F$38,MATCH($A120,Baarn!$C$4:$C$38,0)),""),IF(IFERROR(INDEX(Scherpenzeel!$F$4:$F$103,MATCH($A120,Scherpenzeel!$C$4:$C$103,0)),"")&lt;&gt;"",IFERROR(INDEX(Scherpenzeel!$F$4:$F$103,MATCH($A120,Scherpenzeel!$C$4:$C$103,0)),""),IF(IFERROR(INDEX('4'!$F$4:$F$103,MATCH($A120,'4'!$C$4:$C$103,0)),"")&lt;&gt;"",IFERROR(INDEX('4'!$F$4:$F$103,MATCH($A120,'4'!$C$4:$C$103,0)),""),IFERROR(INDEX('5'!$F$4:$F$103,MATCH($A120,'5'!$C$4:$C$103,0)),""))))))</f>
        <v/>
      </c>
      <c r="C120" s="13" t="str">
        <f>IF($A120="","",IF(IFERROR(INDEX(Barneveld!$D$4:$D$36,MATCH($A120,Barneveld!$C$4:$C$36,0)),"")&lt;&gt;"",IFERROR(INDEX(Barneveld!$D$4:$D$36,MATCH($A120,Barneveld!$C$4:$C$36,0)),""),IF(IFERROR(INDEX(Baarn!$E$4:$E$38,MATCH($A120,Baarn!$C$4:$C$38,0)),"")&lt;&gt;"",IFERROR(INDEX(Baarn!$E$4:$E$38,MATCH($A120,Baarn!$C$4:$C$38,0)),""),IF(IFERROR(INDEX(Scherpenzeel!$E$4:$E$103,MATCH($A120,Scherpenzeel!$C$4:$C$103,0)),"")&lt;&gt;"",IFERROR(INDEX(Scherpenzeel!$E$4:$E$103,MATCH($A120,Scherpenzeel!$C$4:$C$103,0)),""),IF(IFERROR(INDEX('4'!$E$4:$E$103,MATCH($A120,'4'!$C$4:$C$103,0)),"")&lt;&gt;"",IFERROR(INDEX('4'!$E$4:$E$103,MATCH($A120,'4'!$C$4:$C$103,0)),""),IFERROR(INDEX('5'!$E$4:$E$103,MATCH($A120,'5'!$C$4:$C$103,0)),""))))))</f>
        <v/>
      </c>
      <c r="D120" s="24" t="str">
        <f>IF($A120="","",IFERROR(INDEX(Barneveld!$A$4:$A$36,MATCH($A120,Barneveld!$C$4:$C$36,0)),""))</f>
        <v/>
      </c>
      <c r="E120" s="15">
        <f>IF($A120="",0,IFERROR(INDEX(Barneveld!$H$4:$H$36,MATCH($A120,Barneveld!$C$4:$C$36,0)),0))</f>
        <v>0</v>
      </c>
      <c r="F120" s="24" t="str">
        <f>IF($A120="","",IFERROR(INDEX(Baarn!$A$4:$A$38,MATCH($A120,Baarn!$C$4:$C$38,0)),""))</f>
        <v/>
      </c>
      <c r="G120" s="15">
        <f>IF($A120="",0,IFERROR(INDEX(Baarn!$I$4:$I$38,MATCH($A120,Baarn!$C$4:$C$38,0)),0))</f>
        <v>0</v>
      </c>
      <c r="H120" s="24" t="str">
        <f>IF($A120="","",IFERROR(INDEX(Scherpenzeel!$A$4:$A$103,MATCH($A120,Scherpenzeel!$C$4:$C$103,0)),""))</f>
        <v/>
      </c>
      <c r="I120" s="15">
        <f>IF($A120="",0,IFERROR(INDEX(Scherpenzeel!$I$4:$I$103,MATCH($A120,Scherpenzeel!$C$4:$C$103,0)),0))</f>
        <v>0</v>
      </c>
      <c r="J120" s="24" t="str">
        <f>IF($A120="","",IFERROR(INDEX('4'!$A$4:$A$103,MATCH($A120,'4'!$C$4:$C$103,0)),""))</f>
        <v/>
      </c>
      <c r="K120" s="15">
        <f>IF($A120="",0,IFERROR(INDEX('4'!$I$4:$I$103,MATCH($A120,'4'!$C$4:$C$103,0)),0))</f>
        <v>0</v>
      </c>
      <c r="L120" s="24" t="str">
        <f>IF($A120="","",IFERROR(INDEX('5'!$A$4:$A$103,MATCH($A120,'5'!$C$4:$C$103,0)),""))</f>
        <v/>
      </c>
      <c r="M120" s="15">
        <f>IF($A120="",0,IFERROR(INDEX('5'!$I$4:$I$103,MATCH($A120,'5'!$C$4:$C$103,0)),0))</f>
        <v>0</v>
      </c>
      <c r="N120" s="25" t="str">
        <f>IF($A120="","",E120+G120+I120+K120+M120)</f>
        <v/>
      </c>
      <c r="O120" s="26" t="str">
        <f>IF(OR($A120="",N120="",N120=0),"",RANK(N120,$N$4:$N$203,0))</f>
        <v/>
      </c>
      <c r="AA120">
        <f>Scherpenzeel!C55</f>
        <v>0</v>
      </c>
      <c r="AB120">
        <f>IF(AA120="",0,IF(COUNTIF($AA$1:AA120,AA120)=1,1,0))</f>
        <v>0</v>
      </c>
      <c r="AC120" t="str">
        <f>IF(AB120=1,COUNTIF($AB$1:AB120,1),"")</f>
        <v/>
      </c>
    </row>
    <row r="121" spans="1:29" x14ac:dyDescent="0.25">
      <c r="A121" s="13" t="str">
        <f>IFERROR(INDEX($AA$1:$AA$368,MATCH(118,$AC$1:$AC$368,0)),"")</f>
        <v/>
      </c>
      <c r="B121" s="13" t="str">
        <f>IF($A121="","",IF(IFERROR(INDEX(Barneveld!$E$4:$E$36,MATCH($A121,Barneveld!$C$4:$C$36,0)),"")&lt;&gt;"",IFERROR(INDEX(Barneveld!$E$4:$E$36,MATCH($A121,Barneveld!$C$4:$C$36,0)),""),IF(IFERROR(INDEX(Baarn!$F$4:$F$38,MATCH($A121,Baarn!$C$4:$C$38,0)),"")&lt;&gt;"",IFERROR(INDEX(Baarn!$F$4:$F$38,MATCH($A121,Baarn!$C$4:$C$38,0)),""),IF(IFERROR(INDEX(Scherpenzeel!$F$4:$F$103,MATCH($A121,Scherpenzeel!$C$4:$C$103,0)),"")&lt;&gt;"",IFERROR(INDEX(Scherpenzeel!$F$4:$F$103,MATCH($A121,Scherpenzeel!$C$4:$C$103,0)),""),IF(IFERROR(INDEX('4'!$F$4:$F$103,MATCH($A121,'4'!$C$4:$C$103,0)),"")&lt;&gt;"",IFERROR(INDEX('4'!$F$4:$F$103,MATCH($A121,'4'!$C$4:$C$103,0)),""),IFERROR(INDEX('5'!$F$4:$F$103,MATCH($A121,'5'!$C$4:$C$103,0)),""))))))</f>
        <v/>
      </c>
      <c r="C121" s="13" t="str">
        <f>IF($A121="","",IF(IFERROR(INDEX(Barneveld!$D$4:$D$36,MATCH($A121,Barneveld!$C$4:$C$36,0)),"")&lt;&gt;"",IFERROR(INDEX(Barneveld!$D$4:$D$36,MATCH($A121,Barneveld!$C$4:$C$36,0)),""),IF(IFERROR(INDEX(Baarn!$E$4:$E$38,MATCH($A121,Baarn!$C$4:$C$38,0)),"")&lt;&gt;"",IFERROR(INDEX(Baarn!$E$4:$E$38,MATCH($A121,Baarn!$C$4:$C$38,0)),""),IF(IFERROR(INDEX(Scherpenzeel!$E$4:$E$103,MATCH($A121,Scherpenzeel!$C$4:$C$103,0)),"")&lt;&gt;"",IFERROR(INDEX(Scherpenzeel!$E$4:$E$103,MATCH($A121,Scherpenzeel!$C$4:$C$103,0)),""),IF(IFERROR(INDEX('4'!$E$4:$E$103,MATCH($A121,'4'!$C$4:$C$103,0)),"")&lt;&gt;"",IFERROR(INDEX('4'!$E$4:$E$103,MATCH($A121,'4'!$C$4:$C$103,0)),""),IFERROR(INDEX('5'!$E$4:$E$103,MATCH($A121,'5'!$C$4:$C$103,0)),""))))))</f>
        <v/>
      </c>
      <c r="D121" s="24" t="str">
        <f>IF($A121="","",IFERROR(INDEX(Barneveld!$A$4:$A$36,MATCH($A121,Barneveld!$C$4:$C$36,0)),""))</f>
        <v/>
      </c>
      <c r="E121" s="15">
        <f>IF($A121="",0,IFERROR(INDEX(Barneveld!$H$4:$H$36,MATCH($A121,Barneveld!$C$4:$C$36,0)),0))</f>
        <v>0</v>
      </c>
      <c r="F121" s="24" t="str">
        <f>IF($A121="","",IFERROR(INDEX(Baarn!$A$4:$A$38,MATCH($A121,Baarn!$C$4:$C$38,0)),""))</f>
        <v/>
      </c>
      <c r="G121" s="15">
        <f>IF($A121="",0,IFERROR(INDEX(Baarn!$I$4:$I$38,MATCH($A121,Baarn!$C$4:$C$38,0)),0))</f>
        <v>0</v>
      </c>
      <c r="H121" s="24" t="str">
        <f>IF($A121="","",IFERROR(INDEX(Scherpenzeel!$A$4:$A$103,MATCH($A121,Scherpenzeel!$C$4:$C$103,0)),""))</f>
        <v/>
      </c>
      <c r="I121" s="15">
        <f>IF($A121="",0,IFERROR(INDEX(Scherpenzeel!$I$4:$I$103,MATCH($A121,Scherpenzeel!$C$4:$C$103,0)),0))</f>
        <v>0</v>
      </c>
      <c r="J121" s="24" t="str">
        <f>IF($A121="","",IFERROR(INDEX('4'!$A$4:$A$103,MATCH($A121,'4'!$C$4:$C$103,0)),""))</f>
        <v/>
      </c>
      <c r="K121" s="15">
        <f>IF($A121="",0,IFERROR(INDEX('4'!$I$4:$I$103,MATCH($A121,'4'!$C$4:$C$103,0)),0))</f>
        <v>0</v>
      </c>
      <c r="L121" s="24" t="str">
        <f>IF($A121="","",IFERROR(INDEX('5'!$A$4:$A$103,MATCH($A121,'5'!$C$4:$C$103,0)),""))</f>
        <v/>
      </c>
      <c r="M121" s="15">
        <f>IF($A121="",0,IFERROR(INDEX('5'!$I$4:$I$103,MATCH($A121,'5'!$C$4:$C$103,0)),0))</f>
        <v>0</v>
      </c>
      <c r="N121" s="25" t="str">
        <f>IF($A121="","",E121+G121+I121+K121+M121)</f>
        <v/>
      </c>
      <c r="O121" s="26" t="str">
        <f>IF(OR($A121="",N121="",N121=0),"",RANK(N121,$N$4:$N$203,0))</f>
        <v/>
      </c>
      <c r="AA121">
        <f>Scherpenzeel!C56</f>
        <v>0</v>
      </c>
      <c r="AB121">
        <f>IF(AA121="",0,IF(COUNTIF($AA$1:AA121,AA121)=1,1,0))</f>
        <v>0</v>
      </c>
      <c r="AC121" t="str">
        <f>IF(AB121=1,COUNTIF($AB$1:AB121,1),"")</f>
        <v/>
      </c>
    </row>
    <row r="122" spans="1:29" x14ac:dyDescent="0.25">
      <c r="A122" s="13" t="str">
        <f>IFERROR(INDEX($AA$1:$AA$368,MATCH(119,$AC$1:$AC$368,0)),"")</f>
        <v/>
      </c>
      <c r="B122" s="13" t="str">
        <f>IF($A122="","",IF(IFERROR(INDEX(Barneveld!$E$4:$E$36,MATCH($A122,Barneveld!$C$4:$C$36,0)),"")&lt;&gt;"",IFERROR(INDEX(Barneveld!$E$4:$E$36,MATCH($A122,Barneveld!$C$4:$C$36,0)),""),IF(IFERROR(INDEX(Baarn!$F$4:$F$38,MATCH($A122,Baarn!$C$4:$C$38,0)),"")&lt;&gt;"",IFERROR(INDEX(Baarn!$F$4:$F$38,MATCH($A122,Baarn!$C$4:$C$38,0)),""),IF(IFERROR(INDEX(Scherpenzeel!$F$4:$F$103,MATCH($A122,Scherpenzeel!$C$4:$C$103,0)),"")&lt;&gt;"",IFERROR(INDEX(Scherpenzeel!$F$4:$F$103,MATCH($A122,Scherpenzeel!$C$4:$C$103,0)),""),IF(IFERROR(INDEX('4'!$F$4:$F$103,MATCH($A122,'4'!$C$4:$C$103,0)),"")&lt;&gt;"",IFERROR(INDEX('4'!$F$4:$F$103,MATCH($A122,'4'!$C$4:$C$103,0)),""),IFERROR(INDEX('5'!$F$4:$F$103,MATCH($A122,'5'!$C$4:$C$103,0)),""))))))</f>
        <v/>
      </c>
      <c r="C122" s="13" t="str">
        <f>IF($A122="","",IF(IFERROR(INDEX(Barneveld!$D$4:$D$36,MATCH($A122,Barneveld!$C$4:$C$36,0)),"")&lt;&gt;"",IFERROR(INDEX(Barneveld!$D$4:$D$36,MATCH($A122,Barneveld!$C$4:$C$36,0)),""),IF(IFERROR(INDEX(Baarn!$E$4:$E$38,MATCH($A122,Baarn!$C$4:$C$38,0)),"")&lt;&gt;"",IFERROR(INDEX(Baarn!$E$4:$E$38,MATCH($A122,Baarn!$C$4:$C$38,0)),""),IF(IFERROR(INDEX(Scherpenzeel!$E$4:$E$103,MATCH($A122,Scherpenzeel!$C$4:$C$103,0)),"")&lt;&gt;"",IFERROR(INDEX(Scherpenzeel!$E$4:$E$103,MATCH($A122,Scherpenzeel!$C$4:$C$103,0)),""),IF(IFERROR(INDEX('4'!$E$4:$E$103,MATCH($A122,'4'!$C$4:$C$103,0)),"")&lt;&gt;"",IFERROR(INDEX('4'!$E$4:$E$103,MATCH($A122,'4'!$C$4:$C$103,0)),""),IFERROR(INDEX('5'!$E$4:$E$103,MATCH($A122,'5'!$C$4:$C$103,0)),""))))))</f>
        <v/>
      </c>
      <c r="D122" s="24" t="str">
        <f>IF($A122="","",IFERROR(INDEX(Barneveld!$A$4:$A$36,MATCH($A122,Barneveld!$C$4:$C$36,0)),""))</f>
        <v/>
      </c>
      <c r="E122" s="15">
        <f>IF($A122="",0,IFERROR(INDEX(Barneveld!$H$4:$H$36,MATCH($A122,Barneveld!$C$4:$C$36,0)),0))</f>
        <v>0</v>
      </c>
      <c r="F122" s="24" t="str">
        <f>IF($A122="","",IFERROR(INDEX(Baarn!$A$4:$A$38,MATCH($A122,Baarn!$C$4:$C$38,0)),""))</f>
        <v/>
      </c>
      <c r="G122" s="15">
        <f>IF($A122="",0,IFERROR(INDEX(Baarn!$I$4:$I$38,MATCH($A122,Baarn!$C$4:$C$38,0)),0))</f>
        <v>0</v>
      </c>
      <c r="H122" s="24" t="str">
        <f>IF($A122="","",IFERROR(INDEX(Scherpenzeel!$A$4:$A$103,MATCH($A122,Scherpenzeel!$C$4:$C$103,0)),""))</f>
        <v/>
      </c>
      <c r="I122" s="15">
        <f>IF($A122="",0,IFERROR(INDEX(Scherpenzeel!$I$4:$I$103,MATCH($A122,Scherpenzeel!$C$4:$C$103,0)),0))</f>
        <v>0</v>
      </c>
      <c r="J122" s="24" t="str">
        <f>IF($A122="","",IFERROR(INDEX('4'!$A$4:$A$103,MATCH($A122,'4'!$C$4:$C$103,0)),""))</f>
        <v/>
      </c>
      <c r="K122" s="15">
        <f>IF($A122="",0,IFERROR(INDEX('4'!$I$4:$I$103,MATCH($A122,'4'!$C$4:$C$103,0)),0))</f>
        <v>0</v>
      </c>
      <c r="L122" s="24" t="str">
        <f>IF($A122="","",IFERROR(INDEX('5'!$A$4:$A$103,MATCH($A122,'5'!$C$4:$C$103,0)),""))</f>
        <v/>
      </c>
      <c r="M122" s="15">
        <f>IF($A122="",0,IFERROR(INDEX('5'!$I$4:$I$103,MATCH($A122,'5'!$C$4:$C$103,0)),0))</f>
        <v>0</v>
      </c>
      <c r="N122" s="25" t="str">
        <f>IF($A122="","",E122+G122+I122+K122+M122)</f>
        <v/>
      </c>
      <c r="O122" s="26" t="str">
        <f>IF(OR($A122="",N122="",N122=0),"",RANK(N122,$N$4:$N$203,0))</f>
        <v/>
      </c>
      <c r="AA122">
        <f>Scherpenzeel!C57</f>
        <v>0</v>
      </c>
      <c r="AB122">
        <f>IF(AA122="",0,IF(COUNTIF($AA$1:AA122,AA122)=1,1,0))</f>
        <v>0</v>
      </c>
      <c r="AC122" t="str">
        <f>IF(AB122=1,COUNTIF($AB$1:AB122,1),"")</f>
        <v/>
      </c>
    </row>
    <row r="123" spans="1:29" x14ac:dyDescent="0.25">
      <c r="A123" s="13" t="str">
        <f>IFERROR(INDEX($AA$1:$AA$368,MATCH(120,$AC$1:$AC$368,0)),"")</f>
        <v/>
      </c>
      <c r="B123" s="13" t="str">
        <f>IF($A123="","",IF(IFERROR(INDEX(Barneveld!$E$4:$E$36,MATCH($A123,Barneveld!$C$4:$C$36,0)),"")&lt;&gt;"",IFERROR(INDEX(Barneveld!$E$4:$E$36,MATCH($A123,Barneveld!$C$4:$C$36,0)),""),IF(IFERROR(INDEX(Baarn!$F$4:$F$38,MATCH($A123,Baarn!$C$4:$C$38,0)),"")&lt;&gt;"",IFERROR(INDEX(Baarn!$F$4:$F$38,MATCH($A123,Baarn!$C$4:$C$38,0)),""),IF(IFERROR(INDEX(Scherpenzeel!$F$4:$F$103,MATCH($A123,Scherpenzeel!$C$4:$C$103,0)),"")&lt;&gt;"",IFERROR(INDEX(Scherpenzeel!$F$4:$F$103,MATCH($A123,Scherpenzeel!$C$4:$C$103,0)),""),IF(IFERROR(INDEX('4'!$F$4:$F$103,MATCH($A123,'4'!$C$4:$C$103,0)),"")&lt;&gt;"",IFERROR(INDEX('4'!$F$4:$F$103,MATCH($A123,'4'!$C$4:$C$103,0)),""),IFERROR(INDEX('5'!$F$4:$F$103,MATCH($A123,'5'!$C$4:$C$103,0)),""))))))</f>
        <v/>
      </c>
      <c r="C123" s="13" t="str">
        <f>IF($A123="","",IF(IFERROR(INDEX(Barneveld!$D$4:$D$36,MATCH($A123,Barneveld!$C$4:$C$36,0)),"")&lt;&gt;"",IFERROR(INDEX(Barneveld!$D$4:$D$36,MATCH($A123,Barneveld!$C$4:$C$36,0)),""),IF(IFERROR(INDEX(Baarn!$E$4:$E$38,MATCH($A123,Baarn!$C$4:$C$38,0)),"")&lt;&gt;"",IFERROR(INDEX(Baarn!$E$4:$E$38,MATCH($A123,Baarn!$C$4:$C$38,0)),""),IF(IFERROR(INDEX(Scherpenzeel!$E$4:$E$103,MATCH($A123,Scherpenzeel!$C$4:$C$103,0)),"")&lt;&gt;"",IFERROR(INDEX(Scherpenzeel!$E$4:$E$103,MATCH($A123,Scherpenzeel!$C$4:$C$103,0)),""),IF(IFERROR(INDEX('4'!$E$4:$E$103,MATCH($A123,'4'!$C$4:$C$103,0)),"")&lt;&gt;"",IFERROR(INDEX('4'!$E$4:$E$103,MATCH($A123,'4'!$C$4:$C$103,0)),""),IFERROR(INDEX('5'!$E$4:$E$103,MATCH($A123,'5'!$C$4:$C$103,0)),""))))))</f>
        <v/>
      </c>
      <c r="D123" s="24" t="str">
        <f>IF($A123="","",IFERROR(INDEX(Barneveld!$A$4:$A$36,MATCH($A123,Barneveld!$C$4:$C$36,0)),""))</f>
        <v/>
      </c>
      <c r="E123" s="15">
        <f>IF($A123="",0,IFERROR(INDEX(Barneveld!$H$4:$H$36,MATCH($A123,Barneveld!$C$4:$C$36,0)),0))</f>
        <v>0</v>
      </c>
      <c r="F123" s="24" t="str">
        <f>IF($A123="","",IFERROR(INDEX(Baarn!$A$4:$A$38,MATCH($A123,Baarn!$C$4:$C$38,0)),""))</f>
        <v/>
      </c>
      <c r="G123" s="15">
        <f>IF($A123="",0,IFERROR(INDEX(Baarn!$I$4:$I$38,MATCH($A123,Baarn!$C$4:$C$38,0)),0))</f>
        <v>0</v>
      </c>
      <c r="H123" s="24" t="str">
        <f>IF($A123="","",IFERROR(INDEX(Scherpenzeel!$A$4:$A$103,MATCH($A123,Scherpenzeel!$C$4:$C$103,0)),""))</f>
        <v/>
      </c>
      <c r="I123" s="15">
        <f>IF($A123="",0,IFERROR(INDEX(Scherpenzeel!$I$4:$I$103,MATCH($A123,Scherpenzeel!$C$4:$C$103,0)),0))</f>
        <v>0</v>
      </c>
      <c r="J123" s="24" t="str">
        <f>IF($A123="","",IFERROR(INDEX('4'!$A$4:$A$103,MATCH($A123,'4'!$C$4:$C$103,0)),""))</f>
        <v/>
      </c>
      <c r="K123" s="15">
        <f>IF($A123="",0,IFERROR(INDEX('4'!$I$4:$I$103,MATCH($A123,'4'!$C$4:$C$103,0)),0))</f>
        <v>0</v>
      </c>
      <c r="L123" s="24" t="str">
        <f>IF($A123="","",IFERROR(INDEX('5'!$A$4:$A$103,MATCH($A123,'5'!$C$4:$C$103,0)),""))</f>
        <v/>
      </c>
      <c r="M123" s="15">
        <f>IF($A123="",0,IFERROR(INDEX('5'!$I$4:$I$103,MATCH($A123,'5'!$C$4:$C$103,0)),0))</f>
        <v>0</v>
      </c>
      <c r="N123" s="25" t="str">
        <f>IF($A123="","",E123+G123+I123+K123+M123)</f>
        <v/>
      </c>
      <c r="O123" s="26" t="str">
        <f>IF(OR($A123="",N123="",N123=0),"",RANK(N123,$N$4:$N$203,0))</f>
        <v/>
      </c>
      <c r="AA123">
        <f>Scherpenzeel!C58</f>
        <v>0</v>
      </c>
      <c r="AB123">
        <f>IF(AA123="",0,IF(COUNTIF($AA$1:AA123,AA123)=1,1,0))</f>
        <v>0</v>
      </c>
      <c r="AC123" t="str">
        <f>IF(AB123=1,COUNTIF($AB$1:AB123,1),"")</f>
        <v/>
      </c>
    </row>
    <row r="124" spans="1:29" x14ac:dyDescent="0.25">
      <c r="A124" s="13" t="str">
        <f>IFERROR(INDEX($AA$1:$AA$368,MATCH(121,$AC$1:$AC$368,0)),"")</f>
        <v/>
      </c>
      <c r="B124" s="13" t="str">
        <f>IF($A124="","",IF(IFERROR(INDEX(Barneveld!$E$4:$E$36,MATCH($A124,Barneveld!$C$4:$C$36,0)),"")&lt;&gt;"",IFERROR(INDEX(Barneveld!$E$4:$E$36,MATCH($A124,Barneveld!$C$4:$C$36,0)),""),IF(IFERROR(INDEX(Baarn!$F$4:$F$38,MATCH($A124,Baarn!$C$4:$C$38,0)),"")&lt;&gt;"",IFERROR(INDEX(Baarn!$F$4:$F$38,MATCH($A124,Baarn!$C$4:$C$38,0)),""),IF(IFERROR(INDEX(Scherpenzeel!$F$4:$F$103,MATCH($A124,Scherpenzeel!$C$4:$C$103,0)),"")&lt;&gt;"",IFERROR(INDEX(Scherpenzeel!$F$4:$F$103,MATCH($A124,Scherpenzeel!$C$4:$C$103,0)),""),IF(IFERROR(INDEX('4'!$F$4:$F$103,MATCH($A124,'4'!$C$4:$C$103,0)),"")&lt;&gt;"",IFERROR(INDEX('4'!$F$4:$F$103,MATCH($A124,'4'!$C$4:$C$103,0)),""),IFERROR(INDEX('5'!$F$4:$F$103,MATCH($A124,'5'!$C$4:$C$103,0)),""))))))</f>
        <v/>
      </c>
      <c r="C124" s="13" t="str">
        <f>IF($A124="","",IF(IFERROR(INDEX(Barneveld!$D$4:$D$36,MATCH($A124,Barneveld!$C$4:$C$36,0)),"")&lt;&gt;"",IFERROR(INDEX(Barneveld!$D$4:$D$36,MATCH($A124,Barneveld!$C$4:$C$36,0)),""),IF(IFERROR(INDEX(Baarn!$E$4:$E$38,MATCH($A124,Baarn!$C$4:$C$38,0)),"")&lt;&gt;"",IFERROR(INDEX(Baarn!$E$4:$E$38,MATCH($A124,Baarn!$C$4:$C$38,0)),""),IF(IFERROR(INDEX(Scherpenzeel!$E$4:$E$103,MATCH($A124,Scherpenzeel!$C$4:$C$103,0)),"")&lt;&gt;"",IFERROR(INDEX(Scherpenzeel!$E$4:$E$103,MATCH($A124,Scherpenzeel!$C$4:$C$103,0)),""),IF(IFERROR(INDEX('4'!$E$4:$E$103,MATCH($A124,'4'!$C$4:$C$103,0)),"")&lt;&gt;"",IFERROR(INDEX('4'!$E$4:$E$103,MATCH($A124,'4'!$C$4:$C$103,0)),""),IFERROR(INDEX('5'!$E$4:$E$103,MATCH($A124,'5'!$C$4:$C$103,0)),""))))))</f>
        <v/>
      </c>
      <c r="D124" s="24" t="str">
        <f>IF($A124="","",IFERROR(INDEX(Barneveld!$A$4:$A$36,MATCH($A124,Barneveld!$C$4:$C$36,0)),""))</f>
        <v/>
      </c>
      <c r="E124" s="15">
        <f>IF($A124="",0,IFERROR(INDEX(Barneveld!$H$4:$H$36,MATCH($A124,Barneveld!$C$4:$C$36,0)),0))</f>
        <v>0</v>
      </c>
      <c r="F124" s="24" t="str">
        <f>IF($A124="","",IFERROR(INDEX(Baarn!$A$4:$A$38,MATCH($A124,Baarn!$C$4:$C$38,0)),""))</f>
        <v/>
      </c>
      <c r="G124" s="15">
        <f>IF($A124="",0,IFERROR(INDEX(Baarn!$I$4:$I$38,MATCH($A124,Baarn!$C$4:$C$38,0)),0))</f>
        <v>0</v>
      </c>
      <c r="H124" s="24" t="str">
        <f>IF($A124="","",IFERROR(INDEX(Scherpenzeel!$A$4:$A$103,MATCH($A124,Scherpenzeel!$C$4:$C$103,0)),""))</f>
        <v/>
      </c>
      <c r="I124" s="15">
        <f>IF($A124="",0,IFERROR(INDEX(Scherpenzeel!$I$4:$I$103,MATCH($A124,Scherpenzeel!$C$4:$C$103,0)),0))</f>
        <v>0</v>
      </c>
      <c r="J124" s="24" t="str">
        <f>IF($A124="","",IFERROR(INDEX('4'!$A$4:$A$103,MATCH($A124,'4'!$C$4:$C$103,0)),""))</f>
        <v/>
      </c>
      <c r="K124" s="15">
        <f>IF($A124="",0,IFERROR(INDEX('4'!$I$4:$I$103,MATCH($A124,'4'!$C$4:$C$103,0)),0))</f>
        <v>0</v>
      </c>
      <c r="L124" s="24" t="str">
        <f>IF($A124="","",IFERROR(INDEX('5'!$A$4:$A$103,MATCH($A124,'5'!$C$4:$C$103,0)),""))</f>
        <v/>
      </c>
      <c r="M124" s="15">
        <f>IF($A124="",0,IFERROR(INDEX('5'!$I$4:$I$103,MATCH($A124,'5'!$C$4:$C$103,0)),0))</f>
        <v>0</v>
      </c>
      <c r="N124" s="25" t="str">
        <f>IF($A124="","",E124+G124+I124+K124+M124)</f>
        <v/>
      </c>
      <c r="O124" s="26" t="str">
        <f>IF(OR($A124="",N124="",N124=0),"",RANK(N124,$N$4:$N$203,0))</f>
        <v/>
      </c>
      <c r="AA124">
        <f>Scherpenzeel!C59</f>
        <v>0</v>
      </c>
      <c r="AB124">
        <f>IF(AA124="",0,IF(COUNTIF($AA$1:AA124,AA124)=1,1,0))</f>
        <v>0</v>
      </c>
      <c r="AC124" t="str">
        <f>IF(AB124=1,COUNTIF($AB$1:AB124,1),"")</f>
        <v/>
      </c>
    </row>
    <row r="125" spans="1:29" x14ac:dyDescent="0.25">
      <c r="A125" s="13" t="str">
        <f>IFERROR(INDEX($AA$1:$AA$368,MATCH(122,$AC$1:$AC$368,0)),"")</f>
        <v/>
      </c>
      <c r="B125" s="13" t="str">
        <f>IF($A125="","",IF(IFERROR(INDEX(Barneveld!$E$4:$E$36,MATCH($A125,Barneveld!$C$4:$C$36,0)),"")&lt;&gt;"",IFERROR(INDEX(Barneveld!$E$4:$E$36,MATCH($A125,Barneveld!$C$4:$C$36,0)),""),IF(IFERROR(INDEX(Baarn!$F$4:$F$38,MATCH($A125,Baarn!$C$4:$C$38,0)),"")&lt;&gt;"",IFERROR(INDEX(Baarn!$F$4:$F$38,MATCH($A125,Baarn!$C$4:$C$38,0)),""),IF(IFERROR(INDEX(Scherpenzeel!$F$4:$F$103,MATCH($A125,Scherpenzeel!$C$4:$C$103,0)),"")&lt;&gt;"",IFERROR(INDEX(Scherpenzeel!$F$4:$F$103,MATCH($A125,Scherpenzeel!$C$4:$C$103,0)),""),IF(IFERROR(INDEX('4'!$F$4:$F$103,MATCH($A125,'4'!$C$4:$C$103,0)),"")&lt;&gt;"",IFERROR(INDEX('4'!$F$4:$F$103,MATCH($A125,'4'!$C$4:$C$103,0)),""),IFERROR(INDEX('5'!$F$4:$F$103,MATCH($A125,'5'!$C$4:$C$103,0)),""))))))</f>
        <v/>
      </c>
      <c r="C125" s="13" t="str">
        <f>IF($A125="","",IF(IFERROR(INDEX(Barneveld!$D$4:$D$36,MATCH($A125,Barneveld!$C$4:$C$36,0)),"")&lt;&gt;"",IFERROR(INDEX(Barneveld!$D$4:$D$36,MATCH($A125,Barneveld!$C$4:$C$36,0)),""),IF(IFERROR(INDEX(Baarn!$E$4:$E$38,MATCH($A125,Baarn!$C$4:$C$38,0)),"")&lt;&gt;"",IFERROR(INDEX(Baarn!$E$4:$E$38,MATCH($A125,Baarn!$C$4:$C$38,0)),""),IF(IFERROR(INDEX(Scherpenzeel!$E$4:$E$103,MATCH($A125,Scherpenzeel!$C$4:$C$103,0)),"")&lt;&gt;"",IFERROR(INDEX(Scherpenzeel!$E$4:$E$103,MATCH($A125,Scherpenzeel!$C$4:$C$103,0)),""),IF(IFERROR(INDEX('4'!$E$4:$E$103,MATCH($A125,'4'!$C$4:$C$103,0)),"")&lt;&gt;"",IFERROR(INDEX('4'!$E$4:$E$103,MATCH($A125,'4'!$C$4:$C$103,0)),""),IFERROR(INDEX('5'!$E$4:$E$103,MATCH($A125,'5'!$C$4:$C$103,0)),""))))))</f>
        <v/>
      </c>
      <c r="D125" s="24" t="str">
        <f>IF($A125="","",IFERROR(INDEX(Barneveld!$A$4:$A$36,MATCH($A125,Barneveld!$C$4:$C$36,0)),""))</f>
        <v/>
      </c>
      <c r="E125" s="15">
        <f>IF($A125="",0,IFERROR(INDEX(Barneveld!$H$4:$H$36,MATCH($A125,Barneveld!$C$4:$C$36,0)),0))</f>
        <v>0</v>
      </c>
      <c r="F125" s="24" t="str">
        <f>IF($A125="","",IFERROR(INDEX(Baarn!$A$4:$A$38,MATCH($A125,Baarn!$C$4:$C$38,0)),""))</f>
        <v/>
      </c>
      <c r="G125" s="15">
        <f>IF($A125="",0,IFERROR(INDEX(Baarn!$I$4:$I$38,MATCH($A125,Baarn!$C$4:$C$38,0)),0))</f>
        <v>0</v>
      </c>
      <c r="H125" s="24" t="str">
        <f>IF($A125="","",IFERROR(INDEX(Scherpenzeel!$A$4:$A$103,MATCH($A125,Scherpenzeel!$C$4:$C$103,0)),""))</f>
        <v/>
      </c>
      <c r="I125" s="15">
        <f>IF($A125="",0,IFERROR(INDEX(Scherpenzeel!$I$4:$I$103,MATCH($A125,Scherpenzeel!$C$4:$C$103,0)),0))</f>
        <v>0</v>
      </c>
      <c r="J125" s="24" t="str">
        <f>IF($A125="","",IFERROR(INDEX('4'!$A$4:$A$103,MATCH($A125,'4'!$C$4:$C$103,0)),""))</f>
        <v/>
      </c>
      <c r="K125" s="15">
        <f>IF($A125="",0,IFERROR(INDEX('4'!$I$4:$I$103,MATCH($A125,'4'!$C$4:$C$103,0)),0))</f>
        <v>0</v>
      </c>
      <c r="L125" s="24" t="str">
        <f>IF($A125="","",IFERROR(INDEX('5'!$A$4:$A$103,MATCH($A125,'5'!$C$4:$C$103,0)),""))</f>
        <v/>
      </c>
      <c r="M125" s="15">
        <f>IF($A125="",0,IFERROR(INDEX('5'!$I$4:$I$103,MATCH($A125,'5'!$C$4:$C$103,0)),0))</f>
        <v>0</v>
      </c>
      <c r="N125" s="25" t="str">
        <f>IF($A125="","",E125+G125+I125+K125+M125)</f>
        <v/>
      </c>
      <c r="O125" s="26" t="str">
        <f>IF(OR($A125="",N125="",N125=0),"",RANK(N125,$N$4:$N$203,0))</f>
        <v/>
      </c>
      <c r="AA125">
        <f>Scherpenzeel!C60</f>
        <v>0</v>
      </c>
      <c r="AB125">
        <f>IF(AA125="",0,IF(COUNTIF($AA$1:AA125,AA125)=1,1,0))</f>
        <v>0</v>
      </c>
      <c r="AC125" t="str">
        <f>IF(AB125=1,COUNTIF($AB$1:AB125,1),"")</f>
        <v/>
      </c>
    </row>
    <row r="126" spans="1:29" x14ac:dyDescent="0.25">
      <c r="A126" s="13" t="str">
        <f>IFERROR(INDEX($AA$1:$AA$368,MATCH(123,$AC$1:$AC$368,0)),"")</f>
        <v/>
      </c>
      <c r="B126" s="13" t="str">
        <f>IF($A126="","",IF(IFERROR(INDEX(Barneveld!$E$4:$E$36,MATCH($A126,Barneveld!$C$4:$C$36,0)),"")&lt;&gt;"",IFERROR(INDEX(Barneveld!$E$4:$E$36,MATCH($A126,Barneveld!$C$4:$C$36,0)),""),IF(IFERROR(INDEX(Baarn!$F$4:$F$38,MATCH($A126,Baarn!$C$4:$C$38,0)),"")&lt;&gt;"",IFERROR(INDEX(Baarn!$F$4:$F$38,MATCH($A126,Baarn!$C$4:$C$38,0)),""),IF(IFERROR(INDEX(Scherpenzeel!$F$4:$F$103,MATCH($A126,Scherpenzeel!$C$4:$C$103,0)),"")&lt;&gt;"",IFERROR(INDEX(Scherpenzeel!$F$4:$F$103,MATCH($A126,Scherpenzeel!$C$4:$C$103,0)),""),IF(IFERROR(INDEX('4'!$F$4:$F$103,MATCH($A126,'4'!$C$4:$C$103,0)),"")&lt;&gt;"",IFERROR(INDEX('4'!$F$4:$F$103,MATCH($A126,'4'!$C$4:$C$103,0)),""),IFERROR(INDEX('5'!$F$4:$F$103,MATCH($A126,'5'!$C$4:$C$103,0)),""))))))</f>
        <v/>
      </c>
      <c r="C126" s="13" t="str">
        <f>IF($A126="","",IF(IFERROR(INDEX(Barneveld!$D$4:$D$36,MATCH($A126,Barneveld!$C$4:$C$36,0)),"")&lt;&gt;"",IFERROR(INDEX(Barneveld!$D$4:$D$36,MATCH($A126,Barneveld!$C$4:$C$36,0)),""),IF(IFERROR(INDEX(Baarn!$E$4:$E$38,MATCH($A126,Baarn!$C$4:$C$38,0)),"")&lt;&gt;"",IFERROR(INDEX(Baarn!$E$4:$E$38,MATCH($A126,Baarn!$C$4:$C$38,0)),""),IF(IFERROR(INDEX(Scherpenzeel!$E$4:$E$103,MATCH($A126,Scherpenzeel!$C$4:$C$103,0)),"")&lt;&gt;"",IFERROR(INDEX(Scherpenzeel!$E$4:$E$103,MATCH($A126,Scherpenzeel!$C$4:$C$103,0)),""),IF(IFERROR(INDEX('4'!$E$4:$E$103,MATCH($A126,'4'!$C$4:$C$103,0)),"")&lt;&gt;"",IFERROR(INDEX('4'!$E$4:$E$103,MATCH($A126,'4'!$C$4:$C$103,0)),""),IFERROR(INDEX('5'!$E$4:$E$103,MATCH($A126,'5'!$C$4:$C$103,0)),""))))))</f>
        <v/>
      </c>
      <c r="D126" s="24" t="str">
        <f>IF($A126="","",IFERROR(INDEX(Barneveld!$A$4:$A$36,MATCH($A126,Barneveld!$C$4:$C$36,0)),""))</f>
        <v/>
      </c>
      <c r="E126" s="15">
        <f>IF($A126="",0,IFERROR(INDEX(Barneveld!$H$4:$H$36,MATCH($A126,Barneveld!$C$4:$C$36,0)),0))</f>
        <v>0</v>
      </c>
      <c r="F126" s="24" t="str">
        <f>IF($A126="","",IFERROR(INDEX(Baarn!$A$4:$A$38,MATCH($A126,Baarn!$C$4:$C$38,0)),""))</f>
        <v/>
      </c>
      <c r="G126" s="15">
        <f>IF($A126="",0,IFERROR(INDEX(Baarn!$I$4:$I$38,MATCH($A126,Baarn!$C$4:$C$38,0)),0))</f>
        <v>0</v>
      </c>
      <c r="H126" s="24" t="str">
        <f>IF($A126="","",IFERROR(INDEX(Scherpenzeel!$A$4:$A$103,MATCH($A126,Scherpenzeel!$C$4:$C$103,0)),""))</f>
        <v/>
      </c>
      <c r="I126" s="15">
        <f>IF($A126="",0,IFERROR(INDEX(Scherpenzeel!$I$4:$I$103,MATCH($A126,Scherpenzeel!$C$4:$C$103,0)),0))</f>
        <v>0</v>
      </c>
      <c r="J126" s="24" t="str">
        <f>IF($A126="","",IFERROR(INDEX('4'!$A$4:$A$103,MATCH($A126,'4'!$C$4:$C$103,0)),""))</f>
        <v/>
      </c>
      <c r="K126" s="15">
        <f>IF($A126="",0,IFERROR(INDEX('4'!$I$4:$I$103,MATCH($A126,'4'!$C$4:$C$103,0)),0))</f>
        <v>0</v>
      </c>
      <c r="L126" s="24" t="str">
        <f>IF($A126="","",IFERROR(INDEX('5'!$A$4:$A$103,MATCH($A126,'5'!$C$4:$C$103,0)),""))</f>
        <v/>
      </c>
      <c r="M126" s="15">
        <f>IF($A126="",0,IFERROR(INDEX('5'!$I$4:$I$103,MATCH($A126,'5'!$C$4:$C$103,0)),0))</f>
        <v>0</v>
      </c>
      <c r="N126" s="25" t="str">
        <f>IF($A126="","",E126+G126+I126+K126+M126)</f>
        <v/>
      </c>
      <c r="O126" s="26" t="str">
        <f>IF(OR($A126="",N126="",N126=0),"",RANK(N126,$N$4:$N$203,0))</f>
        <v/>
      </c>
      <c r="AA126">
        <f>Scherpenzeel!C61</f>
        <v>0</v>
      </c>
      <c r="AB126">
        <f>IF(AA126="",0,IF(COUNTIF($AA$1:AA126,AA126)=1,1,0))</f>
        <v>0</v>
      </c>
      <c r="AC126" t="str">
        <f>IF(AB126=1,COUNTIF($AB$1:AB126,1),"")</f>
        <v/>
      </c>
    </row>
    <row r="127" spans="1:29" x14ac:dyDescent="0.25">
      <c r="A127" s="13" t="str">
        <f>IFERROR(INDEX($AA$1:$AA$368,MATCH(124,$AC$1:$AC$368,0)),"")</f>
        <v/>
      </c>
      <c r="B127" s="13" t="str">
        <f>IF($A127="","",IF(IFERROR(INDEX(Barneveld!$E$4:$E$36,MATCH($A127,Barneveld!$C$4:$C$36,0)),"")&lt;&gt;"",IFERROR(INDEX(Barneveld!$E$4:$E$36,MATCH($A127,Barneveld!$C$4:$C$36,0)),""),IF(IFERROR(INDEX(Baarn!$F$4:$F$38,MATCH($A127,Baarn!$C$4:$C$38,0)),"")&lt;&gt;"",IFERROR(INDEX(Baarn!$F$4:$F$38,MATCH($A127,Baarn!$C$4:$C$38,0)),""),IF(IFERROR(INDEX(Scherpenzeel!$F$4:$F$103,MATCH($A127,Scherpenzeel!$C$4:$C$103,0)),"")&lt;&gt;"",IFERROR(INDEX(Scherpenzeel!$F$4:$F$103,MATCH($A127,Scherpenzeel!$C$4:$C$103,0)),""),IF(IFERROR(INDEX('4'!$F$4:$F$103,MATCH($A127,'4'!$C$4:$C$103,0)),"")&lt;&gt;"",IFERROR(INDEX('4'!$F$4:$F$103,MATCH($A127,'4'!$C$4:$C$103,0)),""),IFERROR(INDEX('5'!$F$4:$F$103,MATCH($A127,'5'!$C$4:$C$103,0)),""))))))</f>
        <v/>
      </c>
      <c r="C127" s="13" t="str">
        <f>IF($A127="","",IF(IFERROR(INDEX(Barneveld!$D$4:$D$36,MATCH($A127,Barneveld!$C$4:$C$36,0)),"")&lt;&gt;"",IFERROR(INDEX(Barneveld!$D$4:$D$36,MATCH($A127,Barneveld!$C$4:$C$36,0)),""),IF(IFERROR(INDEX(Baarn!$E$4:$E$38,MATCH($A127,Baarn!$C$4:$C$38,0)),"")&lt;&gt;"",IFERROR(INDEX(Baarn!$E$4:$E$38,MATCH($A127,Baarn!$C$4:$C$38,0)),""),IF(IFERROR(INDEX(Scherpenzeel!$E$4:$E$103,MATCH($A127,Scherpenzeel!$C$4:$C$103,0)),"")&lt;&gt;"",IFERROR(INDEX(Scherpenzeel!$E$4:$E$103,MATCH($A127,Scherpenzeel!$C$4:$C$103,0)),""),IF(IFERROR(INDEX('4'!$E$4:$E$103,MATCH($A127,'4'!$C$4:$C$103,0)),"")&lt;&gt;"",IFERROR(INDEX('4'!$E$4:$E$103,MATCH($A127,'4'!$C$4:$C$103,0)),""),IFERROR(INDEX('5'!$E$4:$E$103,MATCH($A127,'5'!$C$4:$C$103,0)),""))))))</f>
        <v/>
      </c>
      <c r="D127" s="24" t="str">
        <f>IF($A127="","",IFERROR(INDEX(Barneveld!$A$4:$A$36,MATCH($A127,Barneveld!$C$4:$C$36,0)),""))</f>
        <v/>
      </c>
      <c r="E127" s="15">
        <f>IF($A127="",0,IFERROR(INDEX(Barneveld!$H$4:$H$36,MATCH($A127,Barneveld!$C$4:$C$36,0)),0))</f>
        <v>0</v>
      </c>
      <c r="F127" s="24" t="str">
        <f>IF($A127="","",IFERROR(INDEX(Baarn!$A$4:$A$38,MATCH($A127,Baarn!$C$4:$C$38,0)),""))</f>
        <v/>
      </c>
      <c r="G127" s="15">
        <f>IF($A127="",0,IFERROR(INDEX(Baarn!$I$4:$I$38,MATCH($A127,Baarn!$C$4:$C$38,0)),0))</f>
        <v>0</v>
      </c>
      <c r="H127" s="24" t="str">
        <f>IF($A127="","",IFERROR(INDEX(Scherpenzeel!$A$4:$A$103,MATCH($A127,Scherpenzeel!$C$4:$C$103,0)),""))</f>
        <v/>
      </c>
      <c r="I127" s="15">
        <f>IF($A127="",0,IFERROR(INDEX(Scherpenzeel!$I$4:$I$103,MATCH($A127,Scherpenzeel!$C$4:$C$103,0)),0))</f>
        <v>0</v>
      </c>
      <c r="J127" s="24" t="str">
        <f>IF($A127="","",IFERROR(INDEX('4'!$A$4:$A$103,MATCH($A127,'4'!$C$4:$C$103,0)),""))</f>
        <v/>
      </c>
      <c r="K127" s="15">
        <f>IF($A127="",0,IFERROR(INDEX('4'!$I$4:$I$103,MATCH($A127,'4'!$C$4:$C$103,0)),0))</f>
        <v>0</v>
      </c>
      <c r="L127" s="24" t="str">
        <f>IF($A127="","",IFERROR(INDEX('5'!$A$4:$A$103,MATCH($A127,'5'!$C$4:$C$103,0)),""))</f>
        <v/>
      </c>
      <c r="M127" s="15">
        <f>IF($A127="",0,IFERROR(INDEX('5'!$I$4:$I$103,MATCH($A127,'5'!$C$4:$C$103,0)),0))</f>
        <v>0</v>
      </c>
      <c r="N127" s="25" t="str">
        <f>IF($A127="","",E127+G127+I127+K127+M127)</f>
        <v/>
      </c>
      <c r="O127" s="26" t="str">
        <f>IF(OR($A127="",N127="",N127=0),"",RANK(N127,$N$4:$N$203,0))</f>
        <v/>
      </c>
      <c r="AA127">
        <f>Scherpenzeel!C62</f>
        <v>0</v>
      </c>
      <c r="AB127">
        <f>IF(AA127="",0,IF(COUNTIF($AA$1:AA127,AA127)=1,1,0))</f>
        <v>0</v>
      </c>
      <c r="AC127" t="str">
        <f>IF(AB127=1,COUNTIF($AB$1:AB127,1),"")</f>
        <v/>
      </c>
    </row>
    <row r="128" spans="1:29" x14ac:dyDescent="0.25">
      <c r="A128" s="13" t="str">
        <f>IFERROR(INDEX($AA$1:$AA$368,MATCH(125,$AC$1:$AC$368,0)),"")</f>
        <v/>
      </c>
      <c r="B128" s="13" t="str">
        <f>IF($A128="","",IF(IFERROR(INDEX(Barneveld!$E$4:$E$36,MATCH($A128,Barneveld!$C$4:$C$36,0)),"")&lt;&gt;"",IFERROR(INDEX(Barneveld!$E$4:$E$36,MATCH($A128,Barneveld!$C$4:$C$36,0)),""),IF(IFERROR(INDEX(Baarn!$F$4:$F$38,MATCH($A128,Baarn!$C$4:$C$38,0)),"")&lt;&gt;"",IFERROR(INDEX(Baarn!$F$4:$F$38,MATCH($A128,Baarn!$C$4:$C$38,0)),""),IF(IFERROR(INDEX(Scherpenzeel!$F$4:$F$103,MATCH($A128,Scherpenzeel!$C$4:$C$103,0)),"")&lt;&gt;"",IFERROR(INDEX(Scherpenzeel!$F$4:$F$103,MATCH($A128,Scherpenzeel!$C$4:$C$103,0)),""),IF(IFERROR(INDEX('4'!$F$4:$F$103,MATCH($A128,'4'!$C$4:$C$103,0)),"")&lt;&gt;"",IFERROR(INDEX('4'!$F$4:$F$103,MATCH($A128,'4'!$C$4:$C$103,0)),""),IFERROR(INDEX('5'!$F$4:$F$103,MATCH($A128,'5'!$C$4:$C$103,0)),""))))))</f>
        <v/>
      </c>
      <c r="C128" s="13" t="str">
        <f>IF($A128="","",IF(IFERROR(INDEX(Barneveld!$D$4:$D$36,MATCH($A128,Barneveld!$C$4:$C$36,0)),"")&lt;&gt;"",IFERROR(INDEX(Barneveld!$D$4:$D$36,MATCH($A128,Barneveld!$C$4:$C$36,0)),""),IF(IFERROR(INDEX(Baarn!$E$4:$E$38,MATCH($A128,Baarn!$C$4:$C$38,0)),"")&lt;&gt;"",IFERROR(INDEX(Baarn!$E$4:$E$38,MATCH($A128,Baarn!$C$4:$C$38,0)),""),IF(IFERROR(INDEX(Scherpenzeel!$E$4:$E$103,MATCH($A128,Scherpenzeel!$C$4:$C$103,0)),"")&lt;&gt;"",IFERROR(INDEX(Scherpenzeel!$E$4:$E$103,MATCH($A128,Scherpenzeel!$C$4:$C$103,0)),""),IF(IFERROR(INDEX('4'!$E$4:$E$103,MATCH($A128,'4'!$C$4:$C$103,0)),"")&lt;&gt;"",IFERROR(INDEX('4'!$E$4:$E$103,MATCH($A128,'4'!$C$4:$C$103,0)),""),IFERROR(INDEX('5'!$E$4:$E$103,MATCH($A128,'5'!$C$4:$C$103,0)),""))))))</f>
        <v/>
      </c>
      <c r="D128" s="24" t="str">
        <f>IF($A128="","",IFERROR(INDEX(Barneveld!$A$4:$A$36,MATCH($A128,Barneveld!$C$4:$C$36,0)),""))</f>
        <v/>
      </c>
      <c r="E128" s="15">
        <f>IF($A128="",0,IFERROR(INDEX(Barneveld!$H$4:$H$36,MATCH($A128,Barneveld!$C$4:$C$36,0)),0))</f>
        <v>0</v>
      </c>
      <c r="F128" s="24" t="str">
        <f>IF($A128="","",IFERROR(INDEX(Baarn!$A$4:$A$38,MATCH($A128,Baarn!$C$4:$C$38,0)),""))</f>
        <v/>
      </c>
      <c r="G128" s="15">
        <f>IF($A128="",0,IFERROR(INDEX(Baarn!$I$4:$I$38,MATCH($A128,Baarn!$C$4:$C$38,0)),0))</f>
        <v>0</v>
      </c>
      <c r="H128" s="24" t="str">
        <f>IF($A128="","",IFERROR(INDEX(Scherpenzeel!$A$4:$A$103,MATCH($A128,Scherpenzeel!$C$4:$C$103,0)),""))</f>
        <v/>
      </c>
      <c r="I128" s="15">
        <f>IF($A128="",0,IFERROR(INDEX(Scherpenzeel!$I$4:$I$103,MATCH($A128,Scherpenzeel!$C$4:$C$103,0)),0))</f>
        <v>0</v>
      </c>
      <c r="J128" s="24" t="str">
        <f>IF($A128="","",IFERROR(INDEX('4'!$A$4:$A$103,MATCH($A128,'4'!$C$4:$C$103,0)),""))</f>
        <v/>
      </c>
      <c r="K128" s="15">
        <f>IF($A128="",0,IFERROR(INDEX('4'!$I$4:$I$103,MATCH($A128,'4'!$C$4:$C$103,0)),0))</f>
        <v>0</v>
      </c>
      <c r="L128" s="24" t="str">
        <f>IF($A128="","",IFERROR(INDEX('5'!$A$4:$A$103,MATCH($A128,'5'!$C$4:$C$103,0)),""))</f>
        <v/>
      </c>
      <c r="M128" s="15">
        <f>IF($A128="",0,IFERROR(INDEX('5'!$I$4:$I$103,MATCH($A128,'5'!$C$4:$C$103,0)),0))</f>
        <v>0</v>
      </c>
      <c r="N128" s="25" t="str">
        <f>IF($A128="","",E128+G128+I128+K128+M128)</f>
        <v/>
      </c>
      <c r="O128" s="26" t="str">
        <f>IF(OR($A128="",N128="",N128=0),"",RANK(N128,$N$4:$N$203,0))</f>
        <v/>
      </c>
      <c r="AA128">
        <f>Scherpenzeel!C63</f>
        <v>0</v>
      </c>
      <c r="AB128">
        <f>IF(AA128="",0,IF(COUNTIF($AA$1:AA128,AA128)=1,1,0))</f>
        <v>0</v>
      </c>
      <c r="AC128" t="str">
        <f>IF(AB128=1,COUNTIF($AB$1:AB128,1),"")</f>
        <v/>
      </c>
    </row>
    <row r="129" spans="1:29" x14ac:dyDescent="0.25">
      <c r="A129" s="13" t="str">
        <f>IFERROR(INDEX($AA$1:$AA$368,MATCH(126,$AC$1:$AC$368,0)),"")</f>
        <v/>
      </c>
      <c r="B129" s="13" t="str">
        <f>IF($A129="","",IF(IFERROR(INDEX(Barneveld!$E$4:$E$36,MATCH($A129,Barneveld!$C$4:$C$36,0)),"")&lt;&gt;"",IFERROR(INDEX(Barneveld!$E$4:$E$36,MATCH($A129,Barneveld!$C$4:$C$36,0)),""),IF(IFERROR(INDEX(Baarn!$F$4:$F$38,MATCH($A129,Baarn!$C$4:$C$38,0)),"")&lt;&gt;"",IFERROR(INDEX(Baarn!$F$4:$F$38,MATCH($A129,Baarn!$C$4:$C$38,0)),""),IF(IFERROR(INDEX(Scherpenzeel!$F$4:$F$103,MATCH($A129,Scherpenzeel!$C$4:$C$103,0)),"")&lt;&gt;"",IFERROR(INDEX(Scherpenzeel!$F$4:$F$103,MATCH($A129,Scherpenzeel!$C$4:$C$103,0)),""),IF(IFERROR(INDEX('4'!$F$4:$F$103,MATCH($A129,'4'!$C$4:$C$103,0)),"")&lt;&gt;"",IFERROR(INDEX('4'!$F$4:$F$103,MATCH($A129,'4'!$C$4:$C$103,0)),""),IFERROR(INDEX('5'!$F$4:$F$103,MATCH($A129,'5'!$C$4:$C$103,0)),""))))))</f>
        <v/>
      </c>
      <c r="C129" s="13" t="str">
        <f>IF($A129="","",IF(IFERROR(INDEX(Barneveld!$D$4:$D$36,MATCH($A129,Barneveld!$C$4:$C$36,0)),"")&lt;&gt;"",IFERROR(INDEX(Barneveld!$D$4:$D$36,MATCH($A129,Barneveld!$C$4:$C$36,0)),""),IF(IFERROR(INDEX(Baarn!$E$4:$E$38,MATCH($A129,Baarn!$C$4:$C$38,0)),"")&lt;&gt;"",IFERROR(INDEX(Baarn!$E$4:$E$38,MATCH($A129,Baarn!$C$4:$C$38,0)),""),IF(IFERROR(INDEX(Scherpenzeel!$E$4:$E$103,MATCH($A129,Scherpenzeel!$C$4:$C$103,0)),"")&lt;&gt;"",IFERROR(INDEX(Scherpenzeel!$E$4:$E$103,MATCH($A129,Scherpenzeel!$C$4:$C$103,0)),""),IF(IFERROR(INDEX('4'!$E$4:$E$103,MATCH($A129,'4'!$C$4:$C$103,0)),"")&lt;&gt;"",IFERROR(INDEX('4'!$E$4:$E$103,MATCH($A129,'4'!$C$4:$C$103,0)),""),IFERROR(INDEX('5'!$E$4:$E$103,MATCH($A129,'5'!$C$4:$C$103,0)),""))))))</f>
        <v/>
      </c>
      <c r="D129" s="24" t="str">
        <f>IF($A129="","",IFERROR(INDEX(Barneveld!$A$4:$A$36,MATCH($A129,Barneveld!$C$4:$C$36,0)),""))</f>
        <v/>
      </c>
      <c r="E129" s="15">
        <f>IF($A129="",0,IFERROR(INDEX(Barneveld!$H$4:$H$36,MATCH($A129,Barneveld!$C$4:$C$36,0)),0))</f>
        <v>0</v>
      </c>
      <c r="F129" s="24" t="str">
        <f>IF($A129="","",IFERROR(INDEX(Baarn!$A$4:$A$38,MATCH($A129,Baarn!$C$4:$C$38,0)),""))</f>
        <v/>
      </c>
      <c r="G129" s="15">
        <f>IF($A129="",0,IFERROR(INDEX(Baarn!$I$4:$I$38,MATCH($A129,Baarn!$C$4:$C$38,0)),0))</f>
        <v>0</v>
      </c>
      <c r="H129" s="24" t="str">
        <f>IF($A129="","",IFERROR(INDEX(Scherpenzeel!$A$4:$A$103,MATCH($A129,Scherpenzeel!$C$4:$C$103,0)),""))</f>
        <v/>
      </c>
      <c r="I129" s="15">
        <f>IF($A129="",0,IFERROR(INDEX(Scherpenzeel!$I$4:$I$103,MATCH($A129,Scherpenzeel!$C$4:$C$103,0)),0))</f>
        <v>0</v>
      </c>
      <c r="J129" s="24" t="str">
        <f>IF($A129="","",IFERROR(INDEX('4'!$A$4:$A$103,MATCH($A129,'4'!$C$4:$C$103,0)),""))</f>
        <v/>
      </c>
      <c r="K129" s="15">
        <f>IF($A129="",0,IFERROR(INDEX('4'!$I$4:$I$103,MATCH($A129,'4'!$C$4:$C$103,0)),0))</f>
        <v>0</v>
      </c>
      <c r="L129" s="24" t="str">
        <f>IF($A129="","",IFERROR(INDEX('5'!$A$4:$A$103,MATCH($A129,'5'!$C$4:$C$103,0)),""))</f>
        <v/>
      </c>
      <c r="M129" s="15">
        <f>IF($A129="",0,IFERROR(INDEX('5'!$I$4:$I$103,MATCH($A129,'5'!$C$4:$C$103,0)),0))</f>
        <v>0</v>
      </c>
      <c r="N129" s="25" t="str">
        <f>IF($A129="","",E129+G129+I129+K129+M129)</f>
        <v/>
      </c>
      <c r="O129" s="26" t="str">
        <f>IF(OR($A129="",N129="",N129=0),"",RANK(N129,$N$4:$N$203,0))</f>
        <v/>
      </c>
      <c r="AA129">
        <f>Scherpenzeel!C64</f>
        <v>0</v>
      </c>
      <c r="AB129">
        <f>IF(AA129="",0,IF(COUNTIF($AA$1:AA129,AA129)=1,1,0))</f>
        <v>0</v>
      </c>
      <c r="AC129" t="str">
        <f>IF(AB129=1,COUNTIF($AB$1:AB129,1),"")</f>
        <v/>
      </c>
    </row>
    <row r="130" spans="1:29" x14ac:dyDescent="0.25">
      <c r="A130" s="13" t="str">
        <f>IFERROR(INDEX($AA$1:$AA$368,MATCH(127,$AC$1:$AC$368,0)),"")</f>
        <v/>
      </c>
      <c r="B130" s="13" t="str">
        <f>IF($A130="","",IF(IFERROR(INDEX(Barneveld!$E$4:$E$36,MATCH($A130,Barneveld!$C$4:$C$36,0)),"")&lt;&gt;"",IFERROR(INDEX(Barneveld!$E$4:$E$36,MATCH($A130,Barneveld!$C$4:$C$36,0)),""),IF(IFERROR(INDEX(Baarn!$F$4:$F$38,MATCH($A130,Baarn!$C$4:$C$38,0)),"")&lt;&gt;"",IFERROR(INDEX(Baarn!$F$4:$F$38,MATCH($A130,Baarn!$C$4:$C$38,0)),""),IF(IFERROR(INDEX(Scherpenzeel!$F$4:$F$103,MATCH($A130,Scherpenzeel!$C$4:$C$103,0)),"")&lt;&gt;"",IFERROR(INDEX(Scherpenzeel!$F$4:$F$103,MATCH($A130,Scherpenzeel!$C$4:$C$103,0)),""),IF(IFERROR(INDEX('4'!$F$4:$F$103,MATCH($A130,'4'!$C$4:$C$103,0)),"")&lt;&gt;"",IFERROR(INDEX('4'!$F$4:$F$103,MATCH($A130,'4'!$C$4:$C$103,0)),""),IFERROR(INDEX('5'!$F$4:$F$103,MATCH($A130,'5'!$C$4:$C$103,0)),""))))))</f>
        <v/>
      </c>
      <c r="C130" s="13" t="str">
        <f>IF($A130="","",IF(IFERROR(INDEX(Barneveld!$D$4:$D$36,MATCH($A130,Barneveld!$C$4:$C$36,0)),"")&lt;&gt;"",IFERROR(INDEX(Barneveld!$D$4:$D$36,MATCH($A130,Barneveld!$C$4:$C$36,0)),""),IF(IFERROR(INDEX(Baarn!$E$4:$E$38,MATCH($A130,Baarn!$C$4:$C$38,0)),"")&lt;&gt;"",IFERROR(INDEX(Baarn!$E$4:$E$38,MATCH($A130,Baarn!$C$4:$C$38,0)),""),IF(IFERROR(INDEX(Scherpenzeel!$E$4:$E$103,MATCH($A130,Scherpenzeel!$C$4:$C$103,0)),"")&lt;&gt;"",IFERROR(INDEX(Scherpenzeel!$E$4:$E$103,MATCH($A130,Scherpenzeel!$C$4:$C$103,0)),""),IF(IFERROR(INDEX('4'!$E$4:$E$103,MATCH($A130,'4'!$C$4:$C$103,0)),"")&lt;&gt;"",IFERROR(INDEX('4'!$E$4:$E$103,MATCH($A130,'4'!$C$4:$C$103,0)),""),IFERROR(INDEX('5'!$E$4:$E$103,MATCH($A130,'5'!$C$4:$C$103,0)),""))))))</f>
        <v/>
      </c>
      <c r="D130" s="24" t="str">
        <f>IF($A130="","",IFERROR(INDEX(Barneveld!$A$4:$A$36,MATCH($A130,Barneveld!$C$4:$C$36,0)),""))</f>
        <v/>
      </c>
      <c r="E130" s="15">
        <f>IF($A130="",0,IFERROR(INDEX(Barneveld!$H$4:$H$36,MATCH($A130,Barneveld!$C$4:$C$36,0)),0))</f>
        <v>0</v>
      </c>
      <c r="F130" s="24" t="str">
        <f>IF($A130="","",IFERROR(INDEX(Baarn!$A$4:$A$38,MATCH($A130,Baarn!$C$4:$C$38,0)),""))</f>
        <v/>
      </c>
      <c r="G130" s="15">
        <f>IF($A130="",0,IFERROR(INDEX(Baarn!$I$4:$I$38,MATCH($A130,Baarn!$C$4:$C$38,0)),0))</f>
        <v>0</v>
      </c>
      <c r="H130" s="24" t="str">
        <f>IF($A130="","",IFERROR(INDEX(Scherpenzeel!$A$4:$A$103,MATCH($A130,Scherpenzeel!$C$4:$C$103,0)),""))</f>
        <v/>
      </c>
      <c r="I130" s="15">
        <f>IF($A130="",0,IFERROR(INDEX(Scherpenzeel!$I$4:$I$103,MATCH($A130,Scherpenzeel!$C$4:$C$103,0)),0))</f>
        <v>0</v>
      </c>
      <c r="J130" s="24" t="str">
        <f>IF($A130="","",IFERROR(INDEX('4'!$A$4:$A$103,MATCH($A130,'4'!$C$4:$C$103,0)),""))</f>
        <v/>
      </c>
      <c r="K130" s="15">
        <f>IF($A130="",0,IFERROR(INDEX('4'!$I$4:$I$103,MATCH($A130,'4'!$C$4:$C$103,0)),0))</f>
        <v>0</v>
      </c>
      <c r="L130" s="24" t="str">
        <f>IF($A130="","",IFERROR(INDEX('5'!$A$4:$A$103,MATCH($A130,'5'!$C$4:$C$103,0)),""))</f>
        <v/>
      </c>
      <c r="M130" s="15">
        <f>IF($A130="",0,IFERROR(INDEX('5'!$I$4:$I$103,MATCH($A130,'5'!$C$4:$C$103,0)),0))</f>
        <v>0</v>
      </c>
      <c r="N130" s="25" t="str">
        <f>IF($A130="","",E130+G130+I130+K130+M130)</f>
        <v/>
      </c>
      <c r="O130" s="26" t="str">
        <f>IF(OR($A130="",N130="",N130=0),"",RANK(N130,$N$4:$N$203,0))</f>
        <v/>
      </c>
      <c r="AA130">
        <f>Scherpenzeel!C65</f>
        <v>0</v>
      </c>
      <c r="AB130">
        <f>IF(AA130="",0,IF(COUNTIF($AA$1:AA130,AA130)=1,1,0))</f>
        <v>0</v>
      </c>
      <c r="AC130" t="str">
        <f>IF(AB130=1,COUNTIF($AB$1:AB130,1),"")</f>
        <v/>
      </c>
    </row>
    <row r="131" spans="1:29" x14ac:dyDescent="0.25">
      <c r="A131" s="13" t="str">
        <f>IFERROR(INDEX($AA$1:$AA$368,MATCH(128,$AC$1:$AC$368,0)),"")</f>
        <v/>
      </c>
      <c r="B131" s="13" t="str">
        <f>IF($A131="","",IF(IFERROR(INDEX(Barneveld!$E$4:$E$36,MATCH($A131,Barneveld!$C$4:$C$36,0)),"")&lt;&gt;"",IFERROR(INDEX(Barneveld!$E$4:$E$36,MATCH($A131,Barneveld!$C$4:$C$36,0)),""),IF(IFERROR(INDEX(Baarn!$F$4:$F$38,MATCH($A131,Baarn!$C$4:$C$38,0)),"")&lt;&gt;"",IFERROR(INDEX(Baarn!$F$4:$F$38,MATCH($A131,Baarn!$C$4:$C$38,0)),""),IF(IFERROR(INDEX(Scherpenzeel!$F$4:$F$103,MATCH($A131,Scherpenzeel!$C$4:$C$103,0)),"")&lt;&gt;"",IFERROR(INDEX(Scherpenzeel!$F$4:$F$103,MATCH($A131,Scherpenzeel!$C$4:$C$103,0)),""),IF(IFERROR(INDEX('4'!$F$4:$F$103,MATCH($A131,'4'!$C$4:$C$103,0)),"")&lt;&gt;"",IFERROR(INDEX('4'!$F$4:$F$103,MATCH($A131,'4'!$C$4:$C$103,0)),""),IFERROR(INDEX('5'!$F$4:$F$103,MATCH($A131,'5'!$C$4:$C$103,0)),""))))))</f>
        <v/>
      </c>
      <c r="C131" s="13" t="str">
        <f>IF($A131="","",IF(IFERROR(INDEX(Barneveld!$D$4:$D$36,MATCH($A131,Barneveld!$C$4:$C$36,0)),"")&lt;&gt;"",IFERROR(INDEX(Barneveld!$D$4:$D$36,MATCH($A131,Barneveld!$C$4:$C$36,0)),""),IF(IFERROR(INDEX(Baarn!$E$4:$E$38,MATCH($A131,Baarn!$C$4:$C$38,0)),"")&lt;&gt;"",IFERROR(INDEX(Baarn!$E$4:$E$38,MATCH($A131,Baarn!$C$4:$C$38,0)),""),IF(IFERROR(INDEX(Scherpenzeel!$E$4:$E$103,MATCH($A131,Scherpenzeel!$C$4:$C$103,0)),"")&lt;&gt;"",IFERROR(INDEX(Scherpenzeel!$E$4:$E$103,MATCH($A131,Scherpenzeel!$C$4:$C$103,0)),""),IF(IFERROR(INDEX('4'!$E$4:$E$103,MATCH($A131,'4'!$C$4:$C$103,0)),"")&lt;&gt;"",IFERROR(INDEX('4'!$E$4:$E$103,MATCH($A131,'4'!$C$4:$C$103,0)),""),IFERROR(INDEX('5'!$E$4:$E$103,MATCH($A131,'5'!$C$4:$C$103,0)),""))))))</f>
        <v/>
      </c>
      <c r="D131" s="24" t="str">
        <f>IF($A131="","",IFERROR(INDEX(Barneveld!$A$4:$A$36,MATCH($A131,Barneveld!$C$4:$C$36,0)),""))</f>
        <v/>
      </c>
      <c r="E131" s="15">
        <f>IF($A131="",0,IFERROR(INDEX(Barneveld!$H$4:$H$36,MATCH($A131,Barneveld!$C$4:$C$36,0)),0))</f>
        <v>0</v>
      </c>
      <c r="F131" s="24" t="str">
        <f>IF($A131="","",IFERROR(INDEX(Baarn!$A$4:$A$38,MATCH($A131,Baarn!$C$4:$C$38,0)),""))</f>
        <v/>
      </c>
      <c r="G131" s="15">
        <f>IF($A131="",0,IFERROR(INDEX(Baarn!$I$4:$I$38,MATCH($A131,Baarn!$C$4:$C$38,0)),0))</f>
        <v>0</v>
      </c>
      <c r="H131" s="24" t="str">
        <f>IF($A131="","",IFERROR(INDEX(Scherpenzeel!$A$4:$A$103,MATCH($A131,Scherpenzeel!$C$4:$C$103,0)),""))</f>
        <v/>
      </c>
      <c r="I131" s="15">
        <f>IF($A131="",0,IFERROR(INDEX(Scherpenzeel!$I$4:$I$103,MATCH($A131,Scherpenzeel!$C$4:$C$103,0)),0))</f>
        <v>0</v>
      </c>
      <c r="J131" s="24" t="str">
        <f>IF($A131="","",IFERROR(INDEX('4'!$A$4:$A$103,MATCH($A131,'4'!$C$4:$C$103,0)),""))</f>
        <v/>
      </c>
      <c r="K131" s="15">
        <f>IF($A131="",0,IFERROR(INDEX('4'!$I$4:$I$103,MATCH($A131,'4'!$C$4:$C$103,0)),0))</f>
        <v>0</v>
      </c>
      <c r="L131" s="24" t="str">
        <f>IF($A131="","",IFERROR(INDEX('5'!$A$4:$A$103,MATCH($A131,'5'!$C$4:$C$103,0)),""))</f>
        <v/>
      </c>
      <c r="M131" s="15">
        <f>IF($A131="",0,IFERROR(INDEX('5'!$I$4:$I$103,MATCH($A131,'5'!$C$4:$C$103,0)),0))</f>
        <v>0</v>
      </c>
      <c r="N131" s="25" t="str">
        <f>IF($A131="","",E131+G131+I131+K131+M131)</f>
        <v/>
      </c>
      <c r="O131" s="26" t="str">
        <f>IF(OR($A131="",N131="",N131=0),"",RANK(N131,$N$4:$N$203,0))</f>
        <v/>
      </c>
      <c r="AA131">
        <f>Scherpenzeel!C66</f>
        <v>0</v>
      </c>
      <c r="AB131">
        <f>IF(AA131="",0,IF(COUNTIF($AA$1:AA131,AA131)=1,1,0))</f>
        <v>0</v>
      </c>
      <c r="AC131" t="str">
        <f>IF(AB131=1,COUNTIF($AB$1:AB131,1),"")</f>
        <v/>
      </c>
    </row>
    <row r="132" spans="1:29" x14ac:dyDescent="0.25">
      <c r="A132" s="13" t="str">
        <f>IFERROR(INDEX($AA$1:$AA$368,MATCH(129,$AC$1:$AC$368,0)),"")</f>
        <v/>
      </c>
      <c r="B132" s="13" t="str">
        <f>IF($A132="","",IF(IFERROR(INDEX(Barneveld!$E$4:$E$36,MATCH($A132,Barneveld!$C$4:$C$36,0)),"")&lt;&gt;"",IFERROR(INDEX(Barneveld!$E$4:$E$36,MATCH($A132,Barneveld!$C$4:$C$36,0)),""),IF(IFERROR(INDEX(Baarn!$F$4:$F$38,MATCH($A132,Baarn!$C$4:$C$38,0)),"")&lt;&gt;"",IFERROR(INDEX(Baarn!$F$4:$F$38,MATCH($A132,Baarn!$C$4:$C$38,0)),""),IF(IFERROR(INDEX(Scherpenzeel!$F$4:$F$103,MATCH($A132,Scherpenzeel!$C$4:$C$103,0)),"")&lt;&gt;"",IFERROR(INDEX(Scherpenzeel!$F$4:$F$103,MATCH($A132,Scherpenzeel!$C$4:$C$103,0)),""),IF(IFERROR(INDEX('4'!$F$4:$F$103,MATCH($A132,'4'!$C$4:$C$103,0)),"")&lt;&gt;"",IFERROR(INDEX('4'!$F$4:$F$103,MATCH($A132,'4'!$C$4:$C$103,0)),""),IFERROR(INDEX('5'!$F$4:$F$103,MATCH($A132,'5'!$C$4:$C$103,0)),""))))))</f>
        <v/>
      </c>
      <c r="C132" s="13" t="str">
        <f>IF($A132="","",IF(IFERROR(INDEX(Barneveld!$D$4:$D$36,MATCH($A132,Barneveld!$C$4:$C$36,0)),"")&lt;&gt;"",IFERROR(INDEX(Barneveld!$D$4:$D$36,MATCH($A132,Barneveld!$C$4:$C$36,0)),""),IF(IFERROR(INDEX(Baarn!$E$4:$E$38,MATCH($A132,Baarn!$C$4:$C$38,0)),"")&lt;&gt;"",IFERROR(INDEX(Baarn!$E$4:$E$38,MATCH($A132,Baarn!$C$4:$C$38,0)),""),IF(IFERROR(INDEX(Scherpenzeel!$E$4:$E$103,MATCH($A132,Scherpenzeel!$C$4:$C$103,0)),"")&lt;&gt;"",IFERROR(INDEX(Scherpenzeel!$E$4:$E$103,MATCH($A132,Scherpenzeel!$C$4:$C$103,0)),""),IF(IFERROR(INDEX('4'!$E$4:$E$103,MATCH($A132,'4'!$C$4:$C$103,0)),"")&lt;&gt;"",IFERROR(INDEX('4'!$E$4:$E$103,MATCH($A132,'4'!$C$4:$C$103,0)),""),IFERROR(INDEX('5'!$E$4:$E$103,MATCH($A132,'5'!$C$4:$C$103,0)),""))))))</f>
        <v/>
      </c>
      <c r="D132" s="24" t="str">
        <f>IF($A132="","",IFERROR(INDEX(Barneveld!$A$4:$A$36,MATCH($A132,Barneveld!$C$4:$C$36,0)),""))</f>
        <v/>
      </c>
      <c r="E132" s="15">
        <f>IF($A132="",0,IFERROR(INDEX(Barneveld!$H$4:$H$36,MATCH($A132,Barneveld!$C$4:$C$36,0)),0))</f>
        <v>0</v>
      </c>
      <c r="F132" s="24" t="str">
        <f>IF($A132="","",IFERROR(INDEX(Baarn!$A$4:$A$38,MATCH($A132,Baarn!$C$4:$C$38,0)),""))</f>
        <v/>
      </c>
      <c r="G132" s="15">
        <f>IF($A132="",0,IFERROR(INDEX(Baarn!$I$4:$I$38,MATCH($A132,Baarn!$C$4:$C$38,0)),0))</f>
        <v>0</v>
      </c>
      <c r="H132" s="24" t="str">
        <f>IF($A132="","",IFERROR(INDEX(Scherpenzeel!$A$4:$A$103,MATCH($A132,Scherpenzeel!$C$4:$C$103,0)),""))</f>
        <v/>
      </c>
      <c r="I132" s="15">
        <f>IF($A132="",0,IFERROR(INDEX(Scherpenzeel!$I$4:$I$103,MATCH($A132,Scherpenzeel!$C$4:$C$103,0)),0))</f>
        <v>0</v>
      </c>
      <c r="J132" s="24" t="str">
        <f>IF($A132="","",IFERROR(INDEX('4'!$A$4:$A$103,MATCH($A132,'4'!$C$4:$C$103,0)),""))</f>
        <v/>
      </c>
      <c r="K132" s="15">
        <f>IF($A132="",0,IFERROR(INDEX('4'!$I$4:$I$103,MATCH($A132,'4'!$C$4:$C$103,0)),0))</f>
        <v>0</v>
      </c>
      <c r="L132" s="24" t="str">
        <f>IF($A132="","",IFERROR(INDEX('5'!$A$4:$A$103,MATCH($A132,'5'!$C$4:$C$103,0)),""))</f>
        <v/>
      </c>
      <c r="M132" s="15">
        <f>IF($A132="",0,IFERROR(INDEX('5'!$I$4:$I$103,MATCH($A132,'5'!$C$4:$C$103,0)),0))</f>
        <v>0</v>
      </c>
      <c r="N132" s="25" t="str">
        <f>IF($A132="","",E132+G132+I132+K132+M132)</f>
        <v/>
      </c>
      <c r="O132" s="26" t="str">
        <f>IF(OR($A132="",N132="",N132=0),"",RANK(N132,$N$4:$N$203,0))</f>
        <v/>
      </c>
      <c r="AA132">
        <f>Scherpenzeel!C67</f>
        <v>0</v>
      </c>
      <c r="AB132">
        <f>IF(AA132="",0,IF(COUNTIF($AA$1:AA132,AA132)=1,1,0))</f>
        <v>0</v>
      </c>
      <c r="AC132" t="str">
        <f>IF(AB132=1,COUNTIF($AB$1:AB132,1),"")</f>
        <v/>
      </c>
    </row>
    <row r="133" spans="1:29" x14ac:dyDescent="0.25">
      <c r="A133" s="13" t="str">
        <f>IFERROR(INDEX($AA$1:$AA$368,MATCH(130,$AC$1:$AC$368,0)),"")</f>
        <v/>
      </c>
      <c r="B133" s="13" t="str">
        <f>IF($A133="","",IF(IFERROR(INDEX(Barneveld!$E$4:$E$36,MATCH($A133,Barneveld!$C$4:$C$36,0)),"")&lt;&gt;"",IFERROR(INDEX(Barneveld!$E$4:$E$36,MATCH($A133,Barneveld!$C$4:$C$36,0)),""),IF(IFERROR(INDEX(Baarn!$F$4:$F$38,MATCH($A133,Baarn!$C$4:$C$38,0)),"")&lt;&gt;"",IFERROR(INDEX(Baarn!$F$4:$F$38,MATCH($A133,Baarn!$C$4:$C$38,0)),""),IF(IFERROR(INDEX(Scherpenzeel!$F$4:$F$103,MATCH($A133,Scherpenzeel!$C$4:$C$103,0)),"")&lt;&gt;"",IFERROR(INDEX(Scherpenzeel!$F$4:$F$103,MATCH($A133,Scherpenzeel!$C$4:$C$103,0)),""),IF(IFERROR(INDEX('4'!$F$4:$F$103,MATCH($A133,'4'!$C$4:$C$103,0)),"")&lt;&gt;"",IFERROR(INDEX('4'!$F$4:$F$103,MATCH($A133,'4'!$C$4:$C$103,0)),""),IFERROR(INDEX('5'!$F$4:$F$103,MATCH($A133,'5'!$C$4:$C$103,0)),""))))))</f>
        <v/>
      </c>
      <c r="C133" s="13" t="str">
        <f>IF($A133="","",IF(IFERROR(INDEX(Barneveld!$D$4:$D$36,MATCH($A133,Barneveld!$C$4:$C$36,0)),"")&lt;&gt;"",IFERROR(INDEX(Barneveld!$D$4:$D$36,MATCH($A133,Barneveld!$C$4:$C$36,0)),""),IF(IFERROR(INDEX(Baarn!$E$4:$E$38,MATCH($A133,Baarn!$C$4:$C$38,0)),"")&lt;&gt;"",IFERROR(INDEX(Baarn!$E$4:$E$38,MATCH($A133,Baarn!$C$4:$C$38,0)),""),IF(IFERROR(INDEX(Scherpenzeel!$E$4:$E$103,MATCH($A133,Scherpenzeel!$C$4:$C$103,0)),"")&lt;&gt;"",IFERROR(INDEX(Scherpenzeel!$E$4:$E$103,MATCH($A133,Scherpenzeel!$C$4:$C$103,0)),""),IF(IFERROR(INDEX('4'!$E$4:$E$103,MATCH($A133,'4'!$C$4:$C$103,0)),"")&lt;&gt;"",IFERROR(INDEX('4'!$E$4:$E$103,MATCH($A133,'4'!$C$4:$C$103,0)),""),IFERROR(INDEX('5'!$E$4:$E$103,MATCH($A133,'5'!$C$4:$C$103,0)),""))))))</f>
        <v/>
      </c>
      <c r="D133" s="24" t="str">
        <f>IF($A133="","",IFERROR(INDEX(Barneveld!$A$4:$A$36,MATCH($A133,Barneveld!$C$4:$C$36,0)),""))</f>
        <v/>
      </c>
      <c r="E133" s="15">
        <f>IF($A133="",0,IFERROR(INDEX(Barneveld!$H$4:$H$36,MATCH($A133,Barneveld!$C$4:$C$36,0)),0))</f>
        <v>0</v>
      </c>
      <c r="F133" s="24" t="str">
        <f>IF($A133="","",IFERROR(INDEX(Baarn!$A$4:$A$38,MATCH($A133,Baarn!$C$4:$C$38,0)),""))</f>
        <v/>
      </c>
      <c r="G133" s="15">
        <f>IF($A133="",0,IFERROR(INDEX(Baarn!$I$4:$I$38,MATCH($A133,Baarn!$C$4:$C$38,0)),0))</f>
        <v>0</v>
      </c>
      <c r="H133" s="24" t="str">
        <f>IF($A133="","",IFERROR(INDEX(Scherpenzeel!$A$4:$A$103,MATCH($A133,Scherpenzeel!$C$4:$C$103,0)),""))</f>
        <v/>
      </c>
      <c r="I133" s="15">
        <f>IF($A133="",0,IFERROR(INDEX(Scherpenzeel!$I$4:$I$103,MATCH($A133,Scherpenzeel!$C$4:$C$103,0)),0))</f>
        <v>0</v>
      </c>
      <c r="J133" s="24" t="str">
        <f>IF($A133="","",IFERROR(INDEX('4'!$A$4:$A$103,MATCH($A133,'4'!$C$4:$C$103,0)),""))</f>
        <v/>
      </c>
      <c r="K133" s="15">
        <f>IF($A133="",0,IFERROR(INDEX('4'!$I$4:$I$103,MATCH($A133,'4'!$C$4:$C$103,0)),0))</f>
        <v>0</v>
      </c>
      <c r="L133" s="24" t="str">
        <f>IF($A133="","",IFERROR(INDEX('5'!$A$4:$A$103,MATCH($A133,'5'!$C$4:$C$103,0)),""))</f>
        <v/>
      </c>
      <c r="M133" s="15">
        <f>IF($A133="",0,IFERROR(INDEX('5'!$I$4:$I$103,MATCH($A133,'5'!$C$4:$C$103,0)),0))</f>
        <v>0</v>
      </c>
      <c r="N133" s="25" t="str">
        <f>IF($A133="","",E133+G133+I133+K133+M133)</f>
        <v/>
      </c>
      <c r="O133" s="26" t="str">
        <f>IF(OR($A133="",N133="",N133=0),"",RANK(N133,$N$4:$N$203,0))</f>
        <v/>
      </c>
      <c r="AA133">
        <f>Scherpenzeel!C68</f>
        <v>0</v>
      </c>
      <c r="AB133">
        <f>IF(AA133="",0,IF(COUNTIF($AA$1:AA133,AA133)=1,1,0))</f>
        <v>0</v>
      </c>
      <c r="AC133" t="str">
        <f>IF(AB133=1,COUNTIF($AB$1:AB133,1),"")</f>
        <v/>
      </c>
    </row>
    <row r="134" spans="1:29" x14ac:dyDescent="0.25">
      <c r="A134" s="13" t="str">
        <f>IFERROR(INDEX($AA$1:$AA$368,MATCH(131,$AC$1:$AC$368,0)),"")</f>
        <v/>
      </c>
      <c r="B134" s="13" t="str">
        <f>IF($A134="","",IF(IFERROR(INDEX(Barneveld!$E$4:$E$36,MATCH($A134,Barneveld!$C$4:$C$36,0)),"")&lt;&gt;"",IFERROR(INDEX(Barneveld!$E$4:$E$36,MATCH($A134,Barneveld!$C$4:$C$36,0)),""),IF(IFERROR(INDEX(Baarn!$F$4:$F$38,MATCH($A134,Baarn!$C$4:$C$38,0)),"")&lt;&gt;"",IFERROR(INDEX(Baarn!$F$4:$F$38,MATCH($A134,Baarn!$C$4:$C$38,0)),""),IF(IFERROR(INDEX(Scherpenzeel!$F$4:$F$103,MATCH($A134,Scherpenzeel!$C$4:$C$103,0)),"")&lt;&gt;"",IFERROR(INDEX(Scherpenzeel!$F$4:$F$103,MATCH($A134,Scherpenzeel!$C$4:$C$103,0)),""),IF(IFERROR(INDEX('4'!$F$4:$F$103,MATCH($A134,'4'!$C$4:$C$103,0)),"")&lt;&gt;"",IFERROR(INDEX('4'!$F$4:$F$103,MATCH($A134,'4'!$C$4:$C$103,0)),""),IFERROR(INDEX('5'!$F$4:$F$103,MATCH($A134,'5'!$C$4:$C$103,0)),""))))))</f>
        <v/>
      </c>
      <c r="C134" s="13" t="str">
        <f>IF($A134="","",IF(IFERROR(INDEX(Barneveld!$D$4:$D$36,MATCH($A134,Barneveld!$C$4:$C$36,0)),"")&lt;&gt;"",IFERROR(INDEX(Barneveld!$D$4:$D$36,MATCH($A134,Barneveld!$C$4:$C$36,0)),""),IF(IFERROR(INDEX(Baarn!$E$4:$E$38,MATCH($A134,Baarn!$C$4:$C$38,0)),"")&lt;&gt;"",IFERROR(INDEX(Baarn!$E$4:$E$38,MATCH($A134,Baarn!$C$4:$C$38,0)),""),IF(IFERROR(INDEX(Scherpenzeel!$E$4:$E$103,MATCH($A134,Scherpenzeel!$C$4:$C$103,0)),"")&lt;&gt;"",IFERROR(INDEX(Scherpenzeel!$E$4:$E$103,MATCH($A134,Scherpenzeel!$C$4:$C$103,0)),""),IF(IFERROR(INDEX('4'!$E$4:$E$103,MATCH($A134,'4'!$C$4:$C$103,0)),"")&lt;&gt;"",IFERROR(INDEX('4'!$E$4:$E$103,MATCH($A134,'4'!$C$4:$C$103,0)),""),IFERROR(INDEX('5'!$E$4:$E$103,MATCH($A134,'5'!$C$4:$C$103,0)),""))))))</f>
        <v/>
      </c>
      <c r="D134" s="24" t="str">
        <f>IF($A134="","",IFERROR(INDEX(Barneveld!$A$4:$A$36,MATCH($A134,Barneveld!$C$4:$C$36,0)),""))</f>
        <v/>
      </c>
      <c r="E134" s="15">
        <f>IF($A134="",0,IFERROR(INDEX(Barneveld!$H$4:$H$36,MATCH($A134,Barneveld!$C$4:$C$36,0)),0))</f>
        <v>0</v>
      </c>
      <c r="F134" s="24" t="str">
        <f>IF($A134="","",IFERROR(INDEX(Baarn!$A$4:$A$38,MATCH($A134,Baarn!$C$4:$C$38,0)),""))</f>
        <v/>
      </c>
      <c r="G134" s="15">
        <f>IF($A134="",0,IFERROR(INDEX(Baarn!$I$4:$I$38,MATCH($A134,Baarn!$C$4:$C$38,0)),0))</f>
        <v>0</v>
      </c>
      <c r="H134" s="24" t="str">
        <f>IF($A134="","",IFERROR(INDEX(Scherpenzeel!$A$4:$A$103,MATCH($A134,Scherpenzeel!$C$4:$C$103,0)),""))</f>
        <v/>
      </c>
      <c r="I134" s="15">
        <f>IF($A134="",0,IFERROR(INDEX(Scherpenzeel!$I$4:$I$103,MATCH($A134,Scherpenzeel!$C$4:$C$103,0)),0))</f>
        <v>0</v>
      </c>
      <c r="J134" s="24" t="str">
        <f>IF($A134="","",IFERROR(INDEX('4'!$A$4:$A$103,MATCH($A134,'4'!$C$4:$C$103,0)),""))</f>
        <v/>
      </c>
      <c r="K134" s="15">
        <f>IF($A134="",0,IFERROR(INDEX('4'!$I$4:$I$103,MATCH($A134,'4'!$C$4:$C$103,0)),0))</f>
        <v>0</v>
      </c>
      <c r="L134" s="24" t="str">
        <f>IF($A134="","",IFERROR(INDEX('5'!$A$4:$A$103,MATCH($A134,'5'!$C$4:$C$103,0)),""))</f>
        <v/>
      </c>
      <c r="M134" s="15">
        <f>IF($A134="",0,IFERROR(INDEX('5'!$I$4:$I$103,MATCH($A134,'5'!$C$4:$C$103,0)),0))</f>
        <v>0</v>
      </c>
      <c r="N134" s="25" t="str">
        <f>IF($A134="","",E134+G134+I134+K134+M134)</f>
        <v/>
      </c>
      <c r="O134" s="26" t="str">
        <f>IF(OR($A134="",N134="",N134=0),"",RANK(N134,$N$4:$N$203,0))</f>
        <v/>
      </c>
      <c r="AA134">
        <f>Scherpenzeel!C69</f>
        <v>0</v>
      </c>
      <c r="AB134">
        <f>IF(AA134="",0,IF(COUNTIF($AA$1:AA134,AA134)=1,1,0))</f>
        <v>0</v>
      </c>
      <c r="AC134" t="str">
        <f>IF(AB134=1,COUNTIF($AB$1:AB134,1),"")</f>
        <v/>
      </c>
    </row>
    <row r="135" spans="1:29" x14ac:dyDescent="0.25">
      <c r="A135" s="13" t="str">
        <f>IFERROR(INDEX($AA$1:$AA$368,MATCH(132,$AC$1:$AC$368,0)),"")</f>
        <v/>
      </c>
      <c r="B135" s="13" t="str">
        <f>IF($A135="","",IF(IFERROR(INDEX(Barneveld!$E$4:$E$36,MATCH($A135,Barneveld!$C$4:$C$36,0)),"")&lt;&gt;"",IFERROR(INDEX(Barneveld!$E$4:$E$36,MATCH($A135,Barneveld!$C$4:$C$36,0)),""),IF(IFERROR(INDEX(Baarn!$F$4:$F$38,MATCH($A135,Baarn!$C$4:$C$38,0)),"")&lt;&gt;"",IFERROR(INDEX(Baarn!$F$4:$F$38,MATCH($A135,Baarn!$C$4:$C$38,0)),""),IF(IFERROR(INDEX(Scherpenzeel!$F$4:$F$103,MATCH($A135,Scherpenzeel!$C$4:$C$103,0)),"")&lt;&gt;"",IFERROR(INDEX(Scherpenzeel!$F$4:$F$103,MATCH($A135,Scherpenzeel!$C$4:$C$103,0)),""),IF(IFERROR(INDEX('4'!$F$4:$F$103,MATCH($A135,'4'!$C$4:$C$103,0)),"")&lt;&gt;"",IFERROR(INDEX('4'!$F$4:$F$103,MATCH($A135,'4'!$C$4:$C$103,0)),""),IFERROR(INDEX('5'!$F$4:$F$103,MATCH($A135,'5'!$C$4:$C$103,0)),""))))))</f>
        <v/>
      </c>
      <c r="C135" s="13" t="str">
        <f>IF($A135="","",IF(IFERROR(INDEX(Barneveld!$D$4:$D$36,MATCH($A135,Barneveld!$C$4:$C$36,0)),"")&lt;&gt;"",IFERROR(INDEX(Barneveld!$D$4:$D$36,MATCH($A135,Barneveld!$C$4:$C$36,0)),""),IF(IFERROR(INDEX(Baarn!$E$4:$E$38,MATCH($A135,Baarn!$C$4:$C$38,0)),"")&lt;&gt;"",IFERROR(INDEX(Baarn!$E$4:$E$38,MATCH($A135,Baarn!$C$4:$C$38,0)),""),IF(IFERROR(INDEX(Scherpenzeel!$E$4:$E$103,MATCH($A135,Scherpenzeel!$C$4:$C$103,0)),"")&lt;&gt;"",IFERROR(INDEX(Scherpenzeel!$E$4:$E$103,MATCH($A135,Scherpenzeel!$C$4:$C$103,0)),""),IF(IFERROR(INDEX('4'!$E$4:$E$103,MATCH($A135,'4'!$C$4:$C$103,0)),"")&lt;&gt;"",IFERROR(INDEX('4'!$E$4:$E$103,MATCH($A135,'4'!$C$4:$C$103,0)),""),IFERROR(INDEX('5'!$E$4:$E$103,MATCH($A135,'5'!$C$4:$C$103,0)),""))))))</f>
        <v/>
      </c>
      <c r="D135" s="24" t="str">
        <f>IF($A135="","",IFERROR(INDEX(Barneveld!$A$4:$A$36,MATCH($A135,Barneveld!$C$4:$C$36,0)),""))</f>
        <v/>
      </c>
      <c r="E135" s="15">
        <f>IF($A135="",0,IFERROR(INDEX(Barneveld!$H$4:$H$36,MATCH($A135,Barneveld!$C$4:$C$36,0)),0))</f>
        <v>0</v>
      </c>
      <c r="F135" s="24" t="str">
        <f>IF($A135="","",IFERROR(INDEX(Baarn!$A$4:$A$38,MATCH($A135,Baarn!$C$4:$C$38,0)),""))</f>
        <v/>
      </c>
      <c r="G135" s="15">
        <f>IF($A135="",0,IFERROR(INDEX(Baarn!$I$4:$I$38,MATCH($A135,Baarn!$C$4:$C$38,0)),0))</f>
        <v>0</v>
      </c>
      <c r="H135" s="24" t="str">
        <f>IF($A135="","",IFERROR(INDEX(Scherpenzeel!$A$4:$A$103,MATCH($A135,Scherpenzeel!$C$4:$C$103,0)),""))</f>
        <v/>
      </c>
      <c r="I135" s="15">
        <f>IF($A135="",0,IFERROR(INDEX(Scherpenzeel!$I$4:$I$103,MATCH($A135,Scherpenzeel!$C$4:$C$103,0)),0))</f>
        <v>0</v>
      </c>
      <c r="J135" s="24" t="str">
        <f>IF($A135="","",IFERROR(INDEX('4'!$A$4:$A$103,MATCH($A135,'4'!$C$4:$C$103,0)),""))</f>
        <v/>
      </c>
      <c r="K135" s="15">
        <f>IF($A135="",0,IFERROR(INDEX('4'!$I$4:$I$103,MATCH($A135,'4'!$C$4:$C$103,0)),0))</f>
        <v>0</v>
      </c>
      <c r="L135" s="24" t="str">
        <f>IF($A135="","",IFERROR(INDEX('5'!$A$4:$A$103,MATCH($A135,'5'!$C$4:$C$103,0)),""))</f>
        <v/>
      </c>
      <c r="M135" s="15">
        <f>IF($A135="",0,IFERROR(INDEX('5'!$I$4:$I$103,MATCH($A135,'5'!$C$4:$C$103,0)),0))</f>
        <v>0</v>
      </c>
      <c r="N135" s="25" t="str">
        <f>IF($A135="","",E135+G135+I135+K135+M135)</f>
        <v/>
      </c>
      <c r="O135" s="26" t="str">
        <f>IF(OR($A135="",N135="",N135=0),"",RANK(N135,$N$4:$N$203,0))</f>
        <v/>
      </c>
      <c r="AA135">
        <f>Scherpenzeel!C70</f>
        <v>0</v>
      </c>
      <c r="AB135">
        <f>IF(AA135="",0,IF(COUNTIF($AA$1:AA135,AA135)=1,1,0))</f>
        <v>0</v>
      </c>
      <c r="AC135" t="str">
        <f>IF(AB135=1,COUNTIF($AB$1:AB135,1),"")</f>
        <v/>
      </c>
    </row>
    <row r="136" spans="1:29" x14ac:dyDescent="0.25">
      <c r="A136" s="13" t="str">
        <f>IFERROR(INDEX($AA$1:$AA$368,MATCH(133,$AC$1:$AC$368,0)),"")</f>
        <v/>
      </c>
      <c r="B136" s="13" t="str">
        <f>IF($A136="","",IF(IFERROR(INDEX(Barneveld!$E$4:$E$36,MATCH($A136,Barneveld!$C$4:$C$36,0)),"")&lt;&gt;"",IFERROR(INDEX(Barneveld!$E$4:$E$36,MATCH($A136,Barneveld!$C$4:$C$36,0)),""),IF(IFERROR(INDEX(Baarn!$F$4:$F$38,MATCH($A136,Baarn!$C$4:$C$38,0)),"")&lt;&gt;"",IFERROR(INDEX(Baarn!$F$4:$F$38,MATCH($A136,Baarn!$C$4:$C$38,0)),""),IF(IFERROR(INDEX(Scherpenzeel!$F$4:$F$103,MATCH($A136,Scherpenzeel!$C$4:$C$103,0)),"")&lt;&gt;"",IFERROR(INDEX(Scherpenzeel!$F$4:$F$103,MATCH($A136,Scherpenzeel!$C$4:$C$103,0)),""),IF(IFERROR(INDEX('4'!$F$4:$F$103,MATCH($A136,'4'!$C$4:$C$103,0)),"")&lt;&gt;"",IFERROR(INDEX('4'!$F$4:$F$103,MATCH($A136,'4'!$C$4:$C$103,0)),""),IFERROR(INDEX('5'!$F$4:$F$103,MATCH($A136,'5'!$C$4:$C$103,0)),""))))))</f>
        <v/>
      </c>
      <c r="C136" s="13" t="str">
        <f>IF($A136="","",IF(IFERROR(INDEX(Barneveld!$D$4:$D$36,MATCH($A136,Barneveld!$C$4:$C$36,0)),"")&lt;&gt;"",IFERROR(INDEX(Barneveld!$D$4:$D$36,MATCH($A136,Barneveld!$C$4:$C$36,0)),""),IF(IFERROR(INDEX(Baarn!$E$4:$E$38,MATCH($A136,Baarn!$C$4:$C$38,0)),"")&lt;&gt;"",IFERROR(INDEX(Baarn!$E$4:$E$38,MATCH($A136,Baarn!$C$4:$C$38,0)),""),IF(IFERROR(INDEX(Scherpenzeel!$E$4:$E$103,MATCH($A136,Scherpenzeel!$C$4:$C$103,0)),"")&lt;&gt;"",IFERROR(INDEX(Scherpenzeel!$E$4:$E$103,MATCH($A136,Scherpenzeel!$C$4:$C$103,0)),""),IF(IFERROR(INDEX('4'!$E$4:$E$103,MATCH($A136,'4'!$C$4:$C$103,0)),"")&lt;&gt;"",IFERROR(INDEX('4'!$E$4:$E$103,MATCH($A136,'4'!$C$4:$C$103,0)),""),IFERROR(INDEX('5'!$E$4:$E$103,MATCH($A136,'5'!$C$4:$C$103,0)),""))))))</f>
        <v/>
      </c>
      <c r="D136" s="24" t="str">
        <f>IF($A136="","",IFERROR(INDEX(Barneveld!$A$4:$A$36,MATCH($A136,Barneveld!$C$4:$C$36,0)),""))</f>
        <v/>
      </c>
      <c r="E136" s="15">
        <f>IF($A136="",0,IFERROR(INDEX(Barneveld!$H$4:$H$36,MATCH($A136,Barneveld!$C$4:$C$36,0)),0))</f>
        <v>0</v>
      </c>
      <c r="F136" s="24" t="str">
        <f>IF($A136="","",IFERROR(INDEX(Baarn!$A$4:$A$38,MATCH($A136,Baarn!$C$4:$C$38,0)),""))</f>
        <v/>
      </c>
      <c r="G136" s="15">
        <f>IF($A136="",0,IFERROR(INDEX(Baarn!$I$4:$I$38,MATCH($A136,Baarn!$C$4:$C$38,0)),0))</f>
        <v>0</v>
      </c>
      <c r="H136" s="24" t="str">
        <f>IF($A136="","",IFERROR(INDEX(Scherpenzeel!$A$4:$A$103,MATCH($A136,Scherpenzeel!$C$4:$C$103,0)),""))</f>
        <v/>
      </c>
      <c r="I136" s="15">
        <f>IF($A136="",0,IFERROR(INDEX(Scherpenzeel!$I$4:$I$103,MATCH($A136,Scherpenzeel!$C$4:$C$103,0)),0))</f>
        <v>0</v>
      </c>
      <c r="J136" s="24" t="str">
        <f>IF($A136="","",IFERROR(INDEX('4'!$A$4:$A$103,MATCH($A136,'4'!$C$4:$C$103,0)),""))</f>
        <v/>
      </c>
      <c r="K136" s="15">
        <f>IF($A136="",0,IFERROR(INDEX('4'!$I$4:$I$103,MATCH($A136,'4'!$C$4:$C$103,0)),0))</f>
        <v>0</v>
      </c>
      <c r="L136" s="24" t="str">
        <f>IF($A136="","",IFERROR(INDEX('5'!$A$4:$A$103,MATCH($A136,'5'!$C$4:$C$103,0)),""))</f>
        <v/>
      </c>
      <c r="M136" s="15">
        <f>IF($A136="",0,IFERROR(INDEX('5'!$I$4:$I$103,MATCH($A136,'5'!$C$4:$C$103,0)),0))</f>
        <v>0</v>
      </c>
      <c r="N136" s="25" t="str">
        <f>IF($A136="","",E136+G136+I136+K136+M136)</f>
        <v/>
      </c>
      <c r="O136" s="26" t="str">
        <f>IF(OR($A136="",N136="",N136=0),"",RANK(N136,$N$4:$N$203,0))</f>
        <v/>
      </c>
      <c r="AA136">
        <f>Scherpenzeel!C71</f>
        <v>0</v>
      </c>
      <c r="AB136">
        <f>IF(AA136="",0,IF(COUNTIF($AA$1:AA136,AA136)=1,1,0))</f>
        <v>0</v>
      </c>
      <c r="AC136" t="str">
        <f>IF(AB136=1,COUNTIF($AB$1:AB136,1),"")</f>
        <v/>
      </c>
    </row>
    <row r="137" spans="1:29" x14ac:dyDescent="0.25">
      <c r="A137" s="13" t="str">
        <f>IFERROR(INDEX($AA$1:$AA$368,MATCH(134,$AC$1:$AC$368,0)),"")</f>
        <v/>
      </c>
      <c r="B137" s="13" t="str">
        <f>IF($A137="","",IF(IFERROR(INDEX(Barneveld!$E$4:$E$36,MATCH($A137,Barneveld!$C$4:$C$36,0)),"")&lt;&gt;"",IFERROR(INDEX(Barneveld!$E$4:$E$36,MATCH($A137,Barneveld!$C$4:$C$36,0)),""),IF(IFERROR(INDEX(Baarn!$F$4:$F$38,MATCH($A137,Baarn!$C$4:$C$38,0)),"")&lt;&gt;"",IFERROR(INDEX(Baarn!$F$4:$F$38,MATCH($A137,Baarn!$C$4:$C$38,0)),""),IF(IFERROR(INDEX(Scherpenzeel!$F$4:$F$103,MATCH($A137,Scherpenzeel!$C$4:$C$103,0)),"")&lt;&gt;"",IFERROR(INDEX(Scherpenzeel!$F$4:$F$103,MATCH($A137,Scherpenzeel!$C$4:$C$103,0)),""),IF(IFERROR(INDEX('4'!$F$4:$F$103,MATCH($A137,'4'!$C$4:$C$103,0)),"")&lt;&gt;"",IFERROR(INDEX('4'!$F$4:$F$103,MATCH($A137,'4'!$C$4:$C$103,0)),""),IFERROR(INDEX('5'!$F$4:$F$103,MATCH($A137,'5'!$C$4:$C$103,0)),""))))))</f>
        <v/>
      </c>
      <c r="C137" s="13" t="str">
        <f>IF($A137="","",IF(IFERROR(INDEX(Barneveld!$D$4:$D$36,MATCH($A137,Barneveld!$C$4:$C$36,0)),"")&lt;&gt;"",IFERROR(INDEX(Barneveld!$D$4:$D$36,MATCH($A137,Barneveld!$C$4:$C$36,0)),""),IF(IFERROR(INDEX(Baarn!$E$4:$E$38,MATCH($A137,Baarn!$C$4:$C$38,0)),"")&lt;&gt;"",IFERROR(INDEX(Baarn!$E$4:$E$38,MATCH($A137,Baarn!$C$4:$C$38,0)),""),IF(IFERROR(INDEX(Scherpenzeel!$E$4:$E$103,MATCH($A137,Scherpenzeel!$C$4:$C$103,0)),"")&lt;&gt;"",IFERROR(INDEX(Scherpenzeel!$E$4:$E$103,MATCH($A137,Scherpenzeel!$C$4:$C$103,0)),""),IF(IFERROR(INDEX('4'!$E$4:$E$103,MATCH($A137,'4'!$C$4:$C$103,0)),"")&lt;&gt;"",IFERROR(INDEX('4'!$E$4:$E$103,MATCH($A137,'4'!$C$4:$C$103,0)),""),IFERROR(INDEX('5'!$E$4:$E$103,MATCH($A137,'5'!$C$4:$C$103,0)),""))))))</f>
        <v/>
      </c>
      <c r="D137" s="24" t="str">
        <f>IF($A137="","",IFERROR(INDEX(Barneveld!$A$4:$A$36,MATCH($A137,Barneveld!$C$4:$C$36,0)),""))</f>
        <v/>
      </c>
      <c r="E137" s="15">
        <f>IF($A137="",0,IFERROR(INDEX(Barneveld!$H$4:$H$36,MATCH($A137,Barneveld!$C$4:$C$36,0)),0))</f>
        <v>0</v>
      </c>
      <c r="F137" s="24" t="str">
        <f>IF($A137="","",IFERROR(INDEX(Baarn!$A$4:$A$38,MATCH($A137,Baarn!$C$4:$C$38,0)),""))</f>
        <v/>
      </c>
      <c r="G137" s="15">
        <f>IF($A137="",0,IFERROR(INDEX(Baarn!$I$4:$I$38,MATCH($A137,Baarn!$C$4:$C$38,0)),0))</f>
        <v>0</v>
      </c>
      <c r="H137" s="24" t="str">
        <f>IF($A137="","",IFERROR(INDEX(Scherpenzeel!$A$4:$A$103,MATCH($A137,Scherpenzeel!$C$4:$C$103,0)),""))</f>
        <v/>
      </c>
      <c r="I137" s="15">
        <f>IF($A137="",0,IFERROR(INDEX(Scherpenzeel!$I$4:$I$103,MATCH($A137,Scherpenzeel!$C$4:$C$103,0)),0))</f>
        <v>0</v>
      </c>
      <c r="J137" s="24" t="str">
        <f>IF($A137="","",IFERROR(INDEX('4'!$A$4:$A$103,MATCH($A137,'4'!$C$4:$C$103,0)),""))</f>
        <v/>
      </c>
      <c r="K137" s="15">
        <f>IF($A137="",0,IFERROR(INDEX('4'!$I$4:$I$103,MATCH($A137,'4'!$C$4:$C$103,0)),0))</f>
        <v>0</v>
      </c>
      <c r="L137" s="24" t="str">
        <f>IF($A137="","",IFERROR(INDEX('5'!$A$4:$A$103,MATCH($A137,'5'!$C$4:$C$103,0)),""))</f>
        <v/>
      </c>
      <c r="M137" s="15">
        <f>IF($A137="",0,IFERROR(INDEX('5'!$I$4:$I$103,MATCH($A137,'5'!$C$4:$C$103,0)),0))</f>
        <v>0</v>
      </c>
      <c r="N137" s="25" t="str">
        <f>IF($A137="","",E137+G137+I137+K137+M137)</f>
        <v/>
      </c>
      <c r="O137" s="26" t="str">
        <f>IF(OR($A137="",N137="",N137=0),"",RANK(N137,$N$4:$N$203,0))</f>
        <v/>
      </c>
      <c r="AA137">
        <f>Scherpenzeel!C72</f>
        <v>0</v>
      </c>
      <c r="AB137">
        <f>IF(AA137="",0,IF(COUNTIF($AA$1:AA137,AA137)=1,1,0))</f>
        <v>0</v>
      </c>
      <c r="AC137" t="str">
        <f>IF(AB137=1,COUNTIF($AB$1:AB137,1),"")</f>
        <v/>
      </c>
    </row>
    <row r="138" spans="1:29" x14ac:dyDescent="0.25">
      <c r="A138" s="13" t="str">
        <f>IFERROR(INDEX($AA$1:$AA$368,MATCH(135,$AC$1:$AC$368,0)),"")</f>
        <v/>
      </c>
      <c r="B138" s="13" t="str">
        <f>IF($A138="","",IF(IFERROR(INDEX(Barneveld!$E$4:$E$36,MATCH($A138,Barneveld!$C$4:$C$36,0)),"")&lt;&gt;"",IFERROR(INDEX(Barneveld!$E$4:$E$36,MATCH($A138,Barneveld!$C$4:$C$36,0)),""),IF(IFERROR(INDEX(Baarn!$F$4:$F$38,MATCH($A138,Baarn!$C$4:$C$38,0)),"")&lt;&gt;"",IFERROR(INDEX(Baarn!$F$4:$F$38,MATCH($A138,Baarn!$C$4:$C$38,0)),""),IF(IFERROR(INDEX(Scherpenzeel!$F$4:$F$103,MATCH($A138,Scherpenzeel!$C$4:$C$103,0)),"")&lt;&gt;"",IFERROR(INDEX(Scherpenzeel!$F$4:$F$103,MATCH($A138,Scherpenzeel!$C$4:$C$103,0)),""),IF(IFERROR(INDEX('4'!$F$4:$F$103,MATCH($A138,'4'!$C$4:$C$103,0)),"")&lt;&gt;"",IFERROR(INDEX('4'!$F$4:$F$103,MATCH($A138,'4'!$C$4:$C$103,0)),""),IFERROR(INDEX('5'!$F$4:$F$103,MATCH($A138,'5'!$C$4:$C$103,0)),""))))))</f>
        <v/>
      </c>
      <c r="C138" s="13" t="str">
        <f>IF($A138="","",IF(IFERROR(INDEX(Barneveld!$D$4:$D$36,MATCH($A138,Barneveld!$C$4:$C$36,0)),"")&lt;&gt;"",IFERROR(INDEX(Barneveld!$D$4:$D$36,MATCH($A138,Barneveld!$C$4:$C$36,0)),""),IF(IFERROR(INDEX(Baarn!$E$4:$E$38,MATCH($A138,Baarn!$C$4:$C$38,0)),"")&lt;&gt;"",IFERROR(INDEX(Baarn!$E$4:$E$38,MATCH($A138,Baarn!$C$4:$C$38,0)),""),IF(IFERROR(INDEX(Scherpenzeel!$E$4:$E$103,MATCH($A138,Scherpenzeel!$C$4:$C$103,0)),"")&lt;&gt;"",IFERROR(INDEX(Scherpenzeel!$E$4:$E$103,MATCH($A138,Scherpenzeel!$C$4:$C$103,0)),""),IF(IFERROR(INDEX('4'!$E$4:$E$103,MATCH($A138,'4'!$C$4:$C$103,0)),"")&lt;&gt;"",IFERROR(INDEX('4'!$E$4:$E$103,MATCH($A138,'4'!$C$4:$C$103,0)),""),IFERROR(INDEX('5'!$E$4:$E$103,MATCH($A138,'5'!$C$4:$C$103,0)),""))))))</f>
        <v/>
      </c>
      <c r="D138" s="24" t="str">
        <f>IF($A138="","",IFERROR(INDEX(Barneveld!$A$4:$A$36,MATCH($A138,Barneveld!$C$4:$C$36,0)),""))</f>
        <v/>
      </c>
      <c r="E138" s="15">
        <f>IF($A138="",0,IFERROR(INDEX(Barneveld!$H$4:$H$36,MATCH($A138,Barneveld!$C$4:$C$36,0)),0))</f>
        <v>0</v>
      </c>
      <c r="F138" s="24" t="str">
        <f>IF($A138="","",IFERROR(INDEX(Baarn!$A$4:$A$38,MATCH($A138,Baarn!$C$4:$C$38,0)),""))</f>
        <v/>
      </c>
      <c r="G138" s="15">
        <f>IF($A138="",0,IFERROR(INDEX(Baarn!$I$4:$I$38,MATCH($A138,Baarn!$C$4:$C$38,0)),0))</f>
        <v>0</v>
      </c>
      <c r="H138" s="24" t="str">
        <f>IF($A138="","",IFERROR(INDEX(Scherpenzeel!$A$4:$A$103,MATCH($A138,Scherpenzeel!$C$4:$C$103,0)),""))</f>
        <v/>
      </c>
      <c r="I138" s="15">
        <f>IF($A138="",0,IFERROR(INDEX(Scherpenzeel!$I$4:$I$103,MATCH($A138,Scherpenzeel!$C$4:$C$103,0)),0))</f>
        <v>0</v>
      </c>
      <c r="J138" s="24" t="str">
        <f>IF($A138="","",IFERROR(INDEX('4'!$A$4:$A$103,MATCH($A138,'4'!$C$4:$C$103,0)),""))</f>
        <v/>
      </c>
      <c r="K138" s="15">
        <f>IF($A138="",0,IFERROR(INDEX('4'!$I$4:$I$103,MATCH($A138,'4'!$C$4:$C$103,0)),0))</f>
        <v>0</v>
      </c>
      <c r="L138" s="24" t="str">
        <f>IF($A138="","",IFERROR(INDEX('5'!$A$4:$A$103,MATCH($A138,'5'!$C$4:$C$103,0)),""))</f>
        <v/>
      </c>
      <c r="M138" s="15">
        <f>IF($A138="",0,IFERROR(INDEX('5'!$I$4:$I$103,MATCH($A138,'5'!$C$4:$C$103,0)),0))</f>
        <v>0</v>
      </c>
      <c r="N138" s="25" t="str">
        <f>IF($A138="","",E138+G138+I138+K138+M138)</f>
        <v/>
      </c>
      <c r="O138" s="26" t="str">
        <f>IF(OR($A138="",N138="",N138=0),"",RANK(N138,$N$4:$N$203,0))</f>
        <v/>
      </c>
      <c r="AA138">
        <f>Scherpenzeel!C73</f>
        <v>0</v>
      </c>
      <c r="AB138">
        <f>IF(AA138="",0,IF(COUNTIF($AA$1:AA138,AA138)=1,1,0))</f>
        <v>0</v>
      </c>
      <c r="AC138" t="str">
        <f>IF(AB138=1,COUNTIF($AB$1:AB138,1),"")</f>
        <v/>
      </c>
    </row>
    <row r="139" spans="1:29" x14ac:dyDescent="0.25">
      <c r="A139" s="13" t="str">
        <f>IFERROR(INDEX($AA$1:$AA$368,MATCH(136,$AC$1:$AC$368,0)),"")</f>
        <v/>
      </c>
      <c r="B139" s="13" t="str">
        <f>IF($A139="","",IF(IFERROR(INDEX(Barneveld!$E$4:$E$36,MATCH($A139,Barneveld!$C$4:$C$36,0)),"")&lt;&gt;"",IFERROR(INDEX(Barneveld!$E$4:$E$36,MATCH($A139,Barneveld!$C$4:$C$36,0)),""),IF(IFERROR(INDEX(Baarn!$F$4:$F$38,MATCH($A139,Baarn!$C$4:$C$38,0)),"")&lt;&gt;"",IFERROR(INDEX(Baarn!$F$4:$F$38,MATCH($A139,Baarn!$C$4:$C$38,0)),""),IF(IFERROR(INDEX(Scherpenzeel!$F$4:$F$103,MATCH($A139,Scherpenzeel!$C$4:$C$103,0)),"")&lt;&gt;"",IFERROR(INDEX(Scherpenzeel!$F$4:$F$103,MATCH($A139,Scherpenzeel!$C$4:$C$103,0)),""),IF(IFERROR(INDEX('4'!$F$4:$F$103,MATCH($A139,'4'!$C$4:$C$103,0)),"")&lt;&gt;"",IFERROR(INDEX('4'!$F$4:$F$103,MATCH($A139,'4'!$C$4:$C$103,0)),""),IFERROR(INDEX('5'!$F$4:$F$103,MATCH($A139,'5'!$C$4:$C$103,0)),""))))))</f>
        <v/>
      </c>
      <c r="C139" s="13" t="str">
        <f>IF($A139="","",IF(IFERROR(INDEX(Barneveld!$D$4:$D$36,MATCH($A139,Barneveld!$C$4:$C$36,0)),"")&lt;&gt;"",IFERROR(INDEX(Barneveld!$D$4:$D$36,MATCH($A139,Barneveld!$C$4:$C$36,0)),""),IF(IFERROR(INDEX(Baarn!$E$4:$E$38,MATCH($A139,Baarn!$C$4:$C$38,0)),"")&lt;&gt;"",IFERROR(INDEX(Baarn!$E$4:$E$38,MATCH($A139,Baarn!$C$4:$C$38,0)),""),IF(IFERROR(INDEX(Scherpenzeel!$E$4:$E$103,MATCH($A139,Scherpenzeel!$C$4:$C$103,0)),"")&lt;&gt;"",IFERROR(INDEX(Scherpenzeel!$E$4:$E$103,MATCH($A139,Scherpenzeel!$C$4:$C$103,0)),""),IF(IFERROR(INDEX('4'!$E$4:$E$103,MATCH($A139,'4'!$C$4:$C$103,0)),"")&lt;&gt;"",IFERROR(INDEX('4'!$E$4:$E$103,MATCH($A139,'4'!$C$4:$C$103,0)),""),IFERROR(INDEX('5'!$E$4:$E$103,MATCH($A139,'5'!$C$4:$C$103,0)),""))))))</f>
        <v/>
      </c>
      <c r="D139" s="24" t="str">
        <f>IF($A139="","",IFERROR(INDEX(Barneveld!$A$4:$A$36,MATCH($A139,Barneveld!$C$4:$C$36,0)),""))</f>
        <v/>
      </c>
      <c r="E139" s="15">
        <f>IF($A139="",0,IFERROR(INDEX(Barneveld!$H$4:$H$36,MATCH($A139,Barneveld!$C$4:$C$36,0)),0))</f>
        <v>0</v>
      </c>
      <c r="F139" s="24" t="str">
        <f>IF($A139="","",IFERROR(INDEX(Baarn!$A$4:$A$38,MATCH($A139,Baarn!$C$4:$C$38,0)),""))</f>
        <v/>
      </c>
      <c r="G139" s="15">
        <f>IF($A139="",0,IFERROR(INDEX(Baarn!$I$4:$I$38,MATCH($A139,Baarn!$C$4:$C$38,0)),0))</f>
        <v>0</v>
      </c>
      <c r="H139" s="24" t="str">
        <f>IF($A139="","",IFERROR(INDEX(Scherpenzeel!$A$4:$A$103,MATCH($A139,Scherpenzeel!$C$4:$C$103,0)),""))</f>
        <v/>
      </c>
      <c r="I139" s="15">
        <f>IF($A139="",0,IFERROR(INDEX(Scherpenzeel!$I$4:$I$103,MATCH($A139,Scherpenzeel!$C$4:$C$103,0)),0))</f>
        <v>0</v>
      </c>
      <c r="J139" s="24" t="str">
        <f>IF($A139="","",IFERROR(INDEX('4'!$A$4:$A$103,MATCH($A139,'4'!$C$4:$C$103,0)),""))</f>
        <v/>
      </c>
      <c r="K139" s="15">
        <f>IF($A139="",0,IFERROR(INDEX('4'!$I$4:$I$103,MATCH($A139,'4'!$C$4:$C$103,0)),0))</f>
        <v>0</v>
      </c>
      <c r="L139" s="24" t="str">
        <f>IF($A139="","",IFERROR(INDEX('5'!$A$4:$A$103,MATCH($A139,'5'!$C$4:$C$103,0)),""))</f>
        <v/>
      </c>
      <c r="M139" s="15">
        <f>IF($A139="",0,IFERROR(INDEX('5'!$I$4:$I$103,MATCH($A139,'5'!$C$4:$C$103,0)),0))</f>
        <v>0</v>
      </c>
      <c r="N139" s="25" t="str">
        <f>IF($A139="","",E139+G139+I139+K139+M139)</f>
        <v/>
      </c>
      <c r="O139" s="26" t="str">
        <f>IF(OR($A139="",N139="",N139=0),"",RANK(N139,$N$4:$N$203,0))</f>
        <v/>
      </c>
      <c r="AA139">
        <f>Scherpenzeel!C74</f>
        <v>0</v>
      </c>
      <c r="AB139">
        <f>IF(AA139="",0,IF(COUNTIF($AA$1:AA139,AA139)=1,1,0))</f>
        <v>0</v>
      </c>
      <c r="AC139" t="str">
        <f>IF(AB139=1,COUNTIF($AB$1:AB139,1),"")</f>
        <v/>
      </c>
    </row>
    <row r="140" spans="1:29" x14ac:dyDescent="0.25">
      <c r="A140" s="13" t="str">
        <f>IFERROR(INDEX($AA$1:$AA$368,MATCH(137,$AC$1:$AC$368,0)),"")</f>
        <v/>
      </c>
      <c r="B140" s="13" t="str">
        <f>IF($A140="","",IF(IFERROR(INDEX(Barneveld!$E$4:$E$36,MATCH($A140,Barneveld!$C$4:$C$36,0)),"")&lt;&gt;"",IFERROR(INDEX(Barneveld!$E$4:$E$36,MATCH($A140,Barneveld!$C$4:$C$36,0)),""),IF(IFERROR(INDEX(Baarn!$F$4:$F$38,MATCH($A140,Baarn!$C$4:$C$38,0)),"")&lt;&gt;"",IFERROR(INDEX(Baarn!$F$4:$F$38,MATCH($A140,Baarn!$C$4:$C$38,0)),""),IF(IFERROR(INDEX(Scherpenzeel!$F$4:$F$103,MATCH($A140,Scherpenzeel!$C$4:$C$103,0)),"")&lt;&gt;"",IFERROR(INDEX(Scherpenzeel!$F$4:$F$103,MATCH($A140,Scherpenzeel!$C$4:$C$103,0)),""),IF(IFERROR(INDEX('4'!$F$4:$F$103,MATCH($A140,'4'!$C$4:$C$103,0)),"")&lt;&gt;"",IFERROR(INDEX('4'!$F$4:$F$103,MATCH($A140,'4'!$C$4:$C$103,0)),""),IFERROR(INDEX('5'!$F$4:$F$103,MATCH($A140,'5'!$C$4:$C$103,0)),""))))))</f>
        <v/>
      </c>
      <c r="C140" s="13" t="str">
        <f>IF($A140="","",IF(IFERROR(INDEX(Barneveld!$D$4:$D$36,MATCH($A140,Barneveld!$C$4:$C$36,0)),"")&lt;&gt;"",IFERROR(INDEX(Barneveld!$D$4:$D$36,MATCH($A140,Barneveld!$C$4:$C$36,0)),""),IF(IFERROR(INDEX(Baarn!$E$4:$E$38,MATCH($A140,Baarn!$C$4:$C$38,0)),"")&lt;&gt;"",IFERROR(INDEX(Baarn!$E$4:$E$38,MATCH($A140,Baarn!$C$4:$C$38,0)),""),IF(IFERROR(INDEX(Scherpenzeel!$E$4:$E$103,MATCH($A140,Scherpenzeel!$C$4:$C$103,0)),"")&lt;&gt;"",IFERROR(INDEX(Scherpenzeel!$E$4:$E$103,MATCH($A140,Scherpenzeel!$C$4:$C$103,0)),""),IF(IFERROR(INDEX('4'!$E$4:$E$103,MATCH($A140,'4'!$C$4:$C$103,0)),"")&lt;&gt;"",IFERROR(INDEX('4'!$E$4:$E$103,MATCH($A140,'4'!$C$4:$C$103,0)),""),IFERROR(INDEX('5'!$E$4:$E$103,MATCH($A140,'5'!$C$4:$C$103,0)),""))))))</f>
        <v/>
      </c>
      <c r="D140" s="24" t="str">
        <f>IF($A140="","",IFERROR(INDEX(Barneveld!$A$4:$A$36,MATCH($A140,Barneveld!$C$4:$C$36,0)),""))</f>
        <v/>
      </c>
      <c r="E140" s="15">
        <f>IF($A140="",0,IFERROR(INDEX(Barneveld!$H$4:$H$36,MATCH($A140,Barneveld!$C$4:$C$36,0)),0))</f>
        <v>0</v>
      </c>
      <c r="F140" s="24" t="str">
        <f>IF($A140="","",IFERROR(INDEX(Baarn!$A$4:$A$38,MATCH($A140,Baarn!$C$4:$C$38,0)),""))</f>
        <v/>
      </c>
      <c r="G140" s="15">
        <f>IF($A140="",0,IFERROR(INDEX(Baarn!$I$4:$I$38,MATCH($A140,Baarn!$C$4:$C$38,0)),0))</f>
        <v>0</v>
      </c>
      <c r="H140" s="24" t="str">
        <f>IF($A140="","",IFERROR(INDEX(Scherpenzeel!$A$4:$A$103,MATCH($A140,Scherpenzeel!$C$4:$C$103,0)),""))</f>
        <v/>
      </c>
      <c r="I140" s="15">
        <f>IF($A140="",0,IFERROR(INDEX(Scherpenzeel!$I$4:$I$103,MATCH($A140,Scherpenzeel!$C$4:$C$103,0)),0))</f>
        <v>0</v>
      </c>
      <c r="J140" s="24" t="str">
        <f>IF($A140="","",IFERROR(INDEX('4'!$A$4:$A$103,MATCH($A140,'4'!$C$4:$C$103,0)),""))</f>
        <v/>
      </c>
      <c r="K140" s="15">
        <f>IF($A140="",0,IFERROR(INDEX('4'!$I$4:$I$103,MATCH($A140,'4'!$C$4:$C$103,0)),0))</f>
        <v>0</v>
      </c>
      <c r="L140" s="24" t="str">
        <f>IF($A140="","",IFERROR(INDEX('5'!$A$4:$A$103,MATCH($A140,'5'!$C$4:$C$103,0)),""))</f>
        <v/>
      </c>
      <c r="M140" s="15">
        <f>IF($A140="",0,IFERROR(INDEX('5'!$I$4:$I$103,MATCH($A140,'5'!$C$4:$C$103,0)),0))</f>
        <v>0</v>
      </c>
      <c r="N140" s="25" t="str">
        <f>IF($A140="","",E140+G140+I140+K140+M140)</f>
        <v/>
      </c>
      <c r="O140" s="26" t="str">
        <f>IF(OR($A140="",N140="",N140=0),"",RANK(N140,$N$4:$N$203,0))</f>
        <v/>
      </c>
      <c r="AA140">
        <f>Scherpenzeel!C75</f>
        <v>0</v>
      </c>
      <c r="AB140">
        <f>IF(AA140="",0,IF(COUNTIF($AA$1:AA140,AA140)=1,1,0))</f>
        <v>0</v>
      </c>
      <c r="AC140" t="str">
        <f>IF(AB140=1,COUNTIF($AB$1:AB140,1),"")</f>
        <v/>
      </c>
    </row>
    <row r="141" spans="1:29" x14ac:dyDescent="0.25">
      <c r="A141" s="13" t="str">
        <f>IFERROR(INDEX($AA$1:$AA$368,MATCH(138,$AC$1:$AC$368,0)),"")</f>
        <v/>
      </c>
      <c r="B141" s="13" t="str">
        <f>IF($A141="","",IF(IFERROR(INDEX(Barneveld!$E$4:$E$36,MATCH($A141,Barneveld!$C$4:$C$36,0)),"")&lt;&gt;"",IFERROR(INDEX(Barneveld!$E$4:$E$36,MATCH($A141,Barneveld!$C$4:$C$36,0)),""),IF(IFERROR(INDEX(Baarn!$F$4:$F$38,MATCH($A141,Baarn!$C$4:$C$38,0)),"")&lt;&gt;"",IFERROR(INDEX(Baarn!$F$4:$F$38,MATCH($A141,Baarn!$C$4:$C$38,0)),""),IF(IFERROR(INDEX(Scherpenzeel!$F$4:$F$103,MATCH($A141,Scherpenzeel!$C$4:$C$103,0)),"")&lt;&gt;"",IFERROR(INDEX(Scherpenzeel!$F$4:$F$103,MATCH($A141,Scherpenzeel!$C$4:$C$103,0)),""),IF(IFERROR(INDEX('4'!$F$4:$F$103,MATCH($A141,'4'!$C$4:$C$103,0)),"")&lt;&gt;"",IFERROR(INDEX('4'!$F$4:$F$103,MATCH($A141,'4'!$C$4:$C$103,0)),""),IFERROR(INDEX('5'!$F$4:$F$103,MATCH($A141,'5'!$C$4:$C$103,0)),""))))))</f>
        <v/>
      </c>
      <c r="C141" s="13" t="str">
        <f>IF($A141="","",IF(IFERROR(INDEX(Barneveld!$D$4:$D$36,MATCH($A141,Barneveld!$C$4:$C$36,0)),"")&lt;&gt;"",IFERROR(INDEX(Barneveld!$D$4:$D$36,MATCH($A141,Barneveld!$C$4:$C$36,0)),""),IF(IFERROR(INDEX(Baarn!$E$4:$E$38,MATCH($A141,Baarn!$C$4:$C$38,0)),"")&lt;&gt;"",IFERROR(INDEX(Baarn!$E$4:$E$38,MATCH($A141,Baarn!$C$4:$C$38,0)),""),IF(IFERROR(INDEX(Scherpenzeel!$E$4:$E$103,MATCH($A141,Scherpenzeel!$C$4:$C$103,0)),"")&lt;&gt;"",IFERROR(INDEX(Scherpenzeel!$E$4:$E$103,MATCH($A141,Scherpenzeel!$C$4:$C$103,0)),""),IF(IFERROR(INDEX('4'!$E$4:$E$103,MATCH($A141,'4'!$C$4:$C$103,0)),"")&lt;&gt;"",IFERROR(INDEX('4'!$E$4:$E$103,MATCH($A141,'4'!$C$4:$C$103,0)),""),IFERROR(INDEX('5'!$E$4:$E$103,MATCH($A141,'5'!$C$4:$C$103,0)),""))))))</f>
        <v/>
      </c>
      <c r="D141" s="24" t="str">
        <f>IF($A141="","",IFERROR(INDEX(Barneveld!$A$4:$A$36,MATCH($A141,Barneveld!$C$4:$C$36,0)),""))</f>
        <v/>
      </c>
      <c r="E141" s="15">
        <f>IF($A141="",0,IFERROR(INDEX(Barneveld!$H$4:$H$36,MATCH($A141,Barneveld!$C$4:$C$36,0)),0))</f>
        <v>0</v>
      </c>
      <c r="F141" s="24" t="str">
        <f>IF($A141="","",IFERROR(INDEX(Baarn!$A$4:$A$38,MATCH($A141,Baarn!$C$4:$C$38,0)),""))</f>
        <v/>
      </c>
      <c r="G141" s="15">
        <f>IF($A141="",0,IFERROR(INDEX(Baarn!$I$4:$I$38,MATCH($A141,Baarn!$C$4:$C$38,0)),0))</f>
        <v>0</v>
      </c>
      <c r="H141" s="24" t="str">
        <f>IF($A141="","",IFERROR(INDEX(Scherpenzeel!$A$4:$A$103,MATCH($A141,Scherpenzeel!$C$4:$C$103,0)),""))</f>
        <v/>
      </c>
      <c r="I141" s="15">
        <f>IF($A141="",0,IFERROR(INDEX(Scherpenzeel!$I$4:$I$103,MATCH($A141,Scherpenzeel!$C$4:$C$103,0)),0))</f>
        <v>0</v>
      </c>
      <c r="J141" s="24" t="str">
        <f>IF($A141="","",IFERROR(INDEX('4'!$A$4:$A$103,MATCH($A141,'4'!$C$4:$C$103,0)),""))</f>
        <v/>
      </c>
      <c r="K141" s="15">
        <f>IF($A141="",0,IFERROR(INDEX('4'!$I$4:$I$103,MATCH($A141,'4'!$C$4:$C$103,0)),0))</f>
        <v>0</v>
      </c>
      <c r="L141" s="24" t="str">
        <f>IF($A141="","",IFERROR(INDEX('5'!$A$4:$A$103,MATCH($A141,'5'!$C$4:$C$103,0)),""))</f>
        <v/>
      </c>
      <c r="M141" s="15">
        <f>IF($A141="",0,IFERROR(INDEX('5'!$I$4:$I$103,MATCH($A141,'5'!$C$4:$C$103,0)),0))</f>
        <v>0</v>
      </c>
      <c r="N141" s="25" t="str">
        <f>IF($A141="","",E141+G141+I141+K141+M141)</f>
        <v/>
      </c>
      <c r="O141" s="26" t="str">
        <f>IF(OR($A141="",N141="",N141=0),"",RANK(N141,$N$4:$N$203,0))</f>
        <v/>
      </c>
      <c r="AA141">
        <f>Scherpenzeel!C76</f>
        <v>0</v>
      </c>
      <c r="AB141">
        <f>IF(AA141="",0,IF(COUNTIF($AA$1:AA141,AA141)=1,1,0))</f>
        <v>0</v>
      </c>
      <c r="AC141" t="str">
        <f>IF(AB141=1,COUNTIF($AB$1:AB141,1),"")</f>
        <v/>
      </c>
    </row>
    <row r="142" spans="1:29" x14ac:dyDescent="0.25">
      <c r="A142" s="13" t="str">
        <f>IFERROR(INDEX($AA$1:$AA$368,MATCH(139,$AC$1:$AC$368,0)),"")</f>
        <v/>
      </c>
      <c r="B142" s="13" t="str">
        <f>IF($A142="","",IF(IFERROR(INDEX(Barneveld!$E$4:$E$36,MATCH($A142,Barneveld!$C$4:$C$36,0)),"")&lt;&gt;"",IFERROR(INDEX(Barneveld!$E$4:$E$36,MATCH($A142,Barneveld!$C$4:$C$36,0)),""),IF(IFERROR(INDEX(Baarn!$F$4:$F$38,MATCH($A142,Baarn!$C$4:$C$38,0)),"")&lt;&gt;"",IFERROR(INDEX(Baarn!$F$4:$F$38,MATCH($A142,Baarn!$C$4:$C$38,0)),""),IF(IFERROR(INDEX(Scherpenzeel!$F$4:$F$103,MATCH($A142,Scherpenzeel!$C$4:$C$103,0)),"")&lt;&gt;"",IFERROR(INDEX(Scherpenzeel!$F$4:$F$103,MATCH($A142,Scherpenzeel!$C$4:$C$103,0)),""),IF(IFERROR(INDEX('4'!$F$4:$F$103,MATCH($A142,'4'!$C$4:$C$103,0)),"")&lt;&gt;"",IFERROR(INDEX('4'!$F$4:$F$103,MATCH($A142,'4'!$C$4:$C$103,0)),""),IFERROR(INDEX('5'!$F$4:$F$103,MATCH($A142,'5'!$C$4:$C$103,0)),""))))))</f>
        <v/>
      </c>
      <c r="C142" s="13" t="str">
        <f>IF($A142="","",IF(IFERROR(INDEX(Barneveld!$D$4:$D$36,MATCH($A142,Barneveld!$C$4:$C$36,0)),"")&lt;&gt;"",IFERROR(INDEX(Barneveld!$D$4:$D$36,MATCH($A142,Barneveld!$C$4:$C$36,0)),""),IF(IFERROR(INDEX(Baarn!$E$4:$E$38,MATCH($A142,Baarn!$C$4:$C$38,0)),"")&lt;&gt;"",IFERROR(INDEX(Baarn!$E$4:$E$38,MATCH($A142,Baarn!$C$4:$C$38,0)),""),IF(IFERROR(INDEX(Scherpenzeel!$E$4:$E$103,MATCH($A142,Scherpenzeel!$C$4:$C$103,0)),"")&lt;&gt;"",IFERROR(INDEX(Scherpenzeel!$E$4:$E$103,MATCH($A142,Scherpenzeel!$C$4:$C$103,0)),""),IF(IFERROR(INDEX('4'!$E$4:$E$103,MATCH($A142,'4'!$C$4:$C$103,0)),"")&lt;&gt;"",IFERROR(INDEX('4'!$E$4:$E$103,MATCH($A142,'4'!$C$4:$C$103,0)),""),IFERROR(INDEX('5'!$E$4:$E$103,MATCH($A142,'5'!$C$4:$C$103,0)),""))))))</f>
        <v/>
      </c>
      <c r="D142" s="24" t="str">
        <f>IF($A142="","",IFERROR(INDEX(Barneveld!$A$4:$A$36,MATCH($A142,Barneveld!$C$4:$C$36,0)),""))</f>
        <v/>
      </c>
      <c r="E142" s="15">
        <f>IF($A142="",0,IFERROR(INDEX(Barneveld!$H$4:$H$36,MATCH($A142,Barneveld!$C$4:$C$36,0)),0))</f>
        <v>0</v>
      </c>
      <c r="F142" s="24" t="str">
        <f>IF($A142="","",IFERROR(INDEX(Baarn!$A$4:$A$38,MATCH($A142,Baarn!$C$4:$C$38,0)),""))</f>
        <v/>
      </c>
      <c r="G142" s="15">
        <f>IF($A142="",0,IFERROR(INDEX(Baarn!$I$4:$I$38,MATCH($A142,Baarn!$C$4:$C$38,0)),0))</f>
        <v>0</v>
      </c>
      <c r="H142" s="24" t="str">
        <f>IF($A142="","",IFERROR(INDEX(Scherpenzeel!$A$4:$A$103,MATCH($A142,Scherpenzeel!$C$4:$C$103,0)),""))</f>
        <v/>
      </c>
      <c r="I142" s="15">
        <f>IF($A142="",0,IFERROR(INDEX(Scherpenzeel!$I$4:$I$103,MATCH($A142,Scherpenzeel!$C$4:$C$103,0)),0))</f>
        <v>0</v>
      </c>
      <c r="J142" s="24" t="str">
        <f>IF($A142="","",IFERROR(INDEX('4'!$A$4:$A$103,MATCH($A142,'4'!$C$4:$C$103,0)),""))</f>
        <v/>
      </c>
      <c r="K142" s="15">
        <f>IF($A142="",0,IFERROR(INDEX('4'!$I$4:$I$103,MATCH($A142,'4'!$C$4:$C$103,0)),0))</f>
        <v>0</v>
      </c>
      <c r="L142" s="24" t="str">
        <f>IF($A142="","",IFERROR(INDEX('5'!$A$4:$A$103,MATCH($A142,'5'!$C$4:$C$103,0)),""))</f>
        <v/>
      </c>
      <c r="M142" s="15">
        <f>IF($A142="",0,IFERROR(INDEX('5'!$I$4:$I$103,MATCH($A142,'5'!$C$4:$C$103,0)),0))</f>
        <v>0</v>
      </c>
      <c r="N142" s="25" t="str">
        <f>IF($A142="","",E142+G142+I142+K142+M142)</f>
        <v/>
      </c>
      <c r="O142" s="26" t="str">
        <f>IF(OR($A142="",N142="",N142=0),"",RANK(N142,$N$4:$N$203,0))</f>
        <v/>
      </c>
      <c r="AA142">
        <f>Scherpenzeel!C77</f>
        <v>0</v>
      </c>
      <c r="AB142">
        <f>IF(AA142="",0,IF(COUNTIF($AA$1:AA142,AA142)=1,1,0))</f>
        <v>0</v>
      </c>
      <c r="AC142" t="str">
        <f>IF(AB142=1,COUNTIF($AB$1:AB142,1),"")</f>
        <v/>
      </c>
    </row>
    <row r="143" spans="1:29" x14ac:dyDescent="0.25">
      <c r="A143" s="13" t="str">
        <f>IFERROR(INDEX($AA$1:$AA$368,MATCH(140,$AC$1:$AC$368,0)),"")</f>
        <v/>
      </c>
      <c r="B143" s="13" t="str">
        <f>IF($A143="","",IF(IFERROR(INDEX(Barneveld!$E$4:$E$36,MATCH($A143,Barneveld!$C$4:$C$36,0)),"")&lt;&gt;"",IFERROR(INDEX(Barneveld!$E$4:$E$36,MATCH($A143,Barneveld!$C$4:$C$36,0)),""),IF(IFERROR(INDEX(Baarn!$F$4:$F$38,MATCH($A143,Baarn!$C$4:$C$38,0)),"")&lt;&gt;"",IFERROR(INDEX(Baarn!$F$4:$F$38,MATCH($A143,Baarn!$C$4:$C$38,0)),""),IF(IFERROR(INDEX(Scherpenzeel!$F$4:$F$103,MATCH($A143,Scherpenzeel!$C$4:$C$103,0)),"")&lt;&gt;"",IFERROR(INDEX(Scherpenzeel!$F$4:$F$103,MATCH($A143,Scherpenzeel!$C$4:$C$103,0)),""),IF(IFERROR(INDEX('4'!$F$4:$F$103,MATCH($A143,'4'!$C$4:$C$103,0)),"")&lt;&gt;"",IFERROR(INDEX('4'!$F$4:$F$103,MATCH($A143,'4'!$C$4:$C$103,0)),""),IFERROR(INDEX('5'!$F$4:$F$103,MATCH($A143,'5'!$C$4:$C$103,0)),""))))))</f>
        <v/>
      </c>
      <c r="C143" s="13" t="str">
        <f>IF($A143="","",IF(IFERROR(INDEX(Barneveld!$D$4:$D$36,MATCH($A143,Barneveld!$C$4:$C$36,0)),"")&lt;&gt;"",IFERROR(INDEX(Barneveld!$D$4:$D$36,MATCH($A143,Barneveld!$C$4:$C$36,0)),""),IF(IFERROR(INDEX(Baarn!$E$4:$E$38,MATCH($A143,Baarn!$C$4:$C$38,0)),"")&lt;&gt;"",IFERROR(INDEX(Baarn!$E$4:$E$38,MATCH($A143,Baarn!$C$4:$C$38,0)),""),IF(IFERROR(INDEX(Scherpenzeel!$E$4:$E$103,MATCH($A143,Scherpenzeel!$C$4:$C$103,0)),"")&lt;&gt;"",IFERROR(INDEX(Scherpenzeel!$E$4:$E$103,MATCH($A143,Scherpenzeel!$C$4:$C$103,0)),""),IF(IFERROR(INDEX('4'!$E$4:$E$103,MATCH($A143,'4'!$C$4:$C$103,0)),"")&lt;&gt;"",IFERROR(INDEX('4'!$E$4:$E$103,MATCH($A143,'4'!$C$4:$C$103,0)),""),IFERROR(INDEX('5'!$E$4:$E$103,MATCH($A143,'5'!$C$4:$C$103,0)),""))))))</f>
        <v/>
      </c>
      <c r="D143" s="24" t="str">
        <f>IF($A143="","",IFERROR(INDEX(Barneveld!$A$4:$A$36,MATCH($A143,Barneveld!$C$4:$C$36,0)),""))</f>
        <v/>
      </c>
      <c r="E143" s="15">
        <f>IF($A143="",0,IFERROR(INDEX(Barneveld!$H$4:$H$36,MATCH($A143,Barneveld!$C$4:$C$36,0)),0))</f>
        <v>0</v>
      </c>
      <c r="F143" s="24" t="str">
        <f>IF($A143="","",IFERROR(INDEX(Baarn!$A$4:$A$38,MATCH($A143,Baarn!$C$4:$C$38,0)),""))</f>
        <v/>
      </c>
      <c r="G143" s="15">
        <f>IF($A143="",0,IFERROR(INDEX(Baarn!$I$4:$I$38,MATCH($A143,Baarn!$C$4:$C$38,0)),0))</f>
        <v>0</v>
      </c>
      <c r="H143" s="24" t="str">
        <f>IF($A143="","",IFERROR(INDEX(Scherpenzeel!$A$4:$A$103,MATCH($A143,Scherpenzeel!$C$4:$C$103,0)),""))</f>
        <v/>
      </c>
      <c r="I143" s="15">
        <f>IF($A143="",0,IFERROR(INDEX(Scherpenzeel!$I$4:$I$103,MATCH($A143,Scherpenzeel!$C$4:$C$103,0)),0))</f>
        <v>0</v>
      </c>
      <c r="J143" s="24" t="str">
        <f>IF($A143="","",IFERROR(INDEX('4'!$A$4:$A$103,MATCH($A143,'4'!$C$4:$C$103,0)),""))</f>
        <v/>
      </c>
      <c r="K143" s="15">
        <f>IF($A143="",0,IFERROR(INDEX('4'!$I$4:$I$103,MATCH($A143,'4'!$C$4:$C$103,0)),0))</f>
        <v>0</v>
      </c>
      <c r="L143" s="24" t="str">
        <f>IF($A143="","",IFERROR(INDEX('5'!$A$4:$A$103,MATCH($A143,'5'!$C$4:$C$103,0)),""))</f>
        <v/>
      </c>
      <c r="M143" s="15">
        <f>IF($A143="",0,IFERROR(INDEX('5'!$I$4:$I$103,MATCH($A143,'5'!$C$4:$C$103,0)),0))</f>
        <v>0</v>
      </c>
      <c r="N143" s="25" t="str">
        <f>IF($A143="","",E143+G143+I143+K143+M143)</f>
        <v/>
      </c>
      <c r="O143" s="26" t="str">
        <f>IF(OR($A143="",N143="",N143=0),"",RANK(N143,$N$4:$N$203,0))</f>
        <v/>
      </c>
      <c r="AA143">
        <f>Scherpenzeel!C78</f>
        <v>0</v>
      </c>
      <c r="AB143">
        <f>IF(AA143="",0,IF(COUNTIF($AA$1:AA143,AA143)=1,1,0))</f>
        <v>0</v>
      </c>
      <c r="AC143" t="str">
        <f>IF(AB143=1,COUNTIF($AB$1:AB143,1),"")</f>
        <v/>
      </c>
    </row>
    <row r="144" spans="1:29" x14ac:dyDescent="0.25">
      <c r="A144" s="13" t="str">
        <f>IFERROR(INDEX($AA$1:$AA$368,MATCH(141,$AC$1:$AC$368,0)),"")</f>
        <v/>
      </c>
      <c r="B144" s="13" t="str">
        <f>IF($A144="","",IF(IFERROR(INDEX(Barneveld!$E$4:$E$36,MATCH($A144,Barneveld!$C$4:$C$36,0)),"")&lt;&gt;"",IFERROR(INDEX(Barneveld!$E$4:$E$36,MATCH($A144,Barneveld!$C$4:$C$36,0)),""),IF(IFERROR(INDEX(Baarn!$F$4:$F$38,MATCH($A144,Baarn!$C$4:$C$38,0)),"")&lt;&gt;"",IFERROR(INDEX(Baarn!$F$4:$F$38,MATCH($A144,Baarn!$C$4:$C$38,0)),""),IF(IFERROR(INDEX(Scherpenzeel!$F$4:$F$103,MATCH($A144,Scherpenzeel!$C$4:$C$103,0)),"")&lt;&gt;"",IFERROR(INDEX(Scherpenzeel!$F$4:$F$103,MATCH($A144,Scherpenzeel!$C$4:$C$103,0)),""),IF(IFERROR(INDEX('4'!$F$4:$F$103,MATCH($A144,'4'!$C$4:$C$103,0)),"")&lt;&gt;"",IFERROR(INDEX('4'!$F$4:$F$103,MATCH($A144,'4'!$C$4:$C$103,0)),""),IFERROR(INDEX('5'!$F$4:$F$103,MATCH($A144,'5'!$C$4:$C$103,0)),""))))))</f>
        <v/>
      </c>
      <c r="C144" s="13" t="str">
        <f>IF($A144="","",IF(IFERROR(INDEX(Barneveld!$D$4:$D$36,MATCH($A144,Barneveld!$C$4:$C$36,0)),"")&lt;&gt;"",IFERROR(INDEX(Barneveld!$D$4:$D$36,MATCH($A144,Barneveld!$C$4:$C$36,0)),""),IF(IFERROR(INDEX(Baarn!$E$4:$E$38,MATCH($A144,Baarn!$C$4:$C$38,0)),"")&lt;&gt;"",IFERROR(INDEX(Baarn!$E$4:$E$38,MATCH($A144,Baarn!$C$4:$C$38,0)),""),IF(IFERROR(INDEX(Scherpenzeel!$E$4:$E$103,MATCH($A144,Scherpenzeel!$C$4:$C$103,0)),"")&lt;&gt;"",IFERROR(INDEX(Scherpenzeel!$E$4:$E$103,MATCH($A144,Scherpenzeel!$C$4:$C$103,0)),""),IF(IFERROR(INDEX('4'!$E$4:$E$103,MATCH($A144,'4'!$C$4:$C$103,0)),"")&lt;&gt;"",IFERROR(INDEX('4'!$E$4:$E$103,MATCH($A144,'4'!$C$4:$C$103,0)),""),IFERROR(INDEX('5'!$E$4:$E$103,MATCH($A144,'5'!$C$4:$C$103,0)),""))))))</f>
        <v/>
      </c>
      <c r="D144" s="24" t="str">
        <f>IF($A144="","",IFERROR(INDEX(Barneveld!$A$4:$A$36,MATCH($A144,Barneveld!$C$4:$C$36,0)),""))</f>
        <v/>
      </c>
      <c r="E144" s="15">
        <f>IF($A144="",0,IFERROR(INDEX(Barneveld!$H$4:$H$36,MATCH($A144,Barneveld!$C$4:$C$36,0)),0))</f>
        <v>0</v>
      </c>
      <c r="F144" s="24" t="str">
        <f>IF($A144="","",IFERROR(INDEX(Baarn!$A$4:$A$38,MATCH($A144,Baarn!$C$4:$C$38,0)),""))</f>
        <v/>
      </c>
      <c r="G144" s="15">
        <f>IF($A144="",0,IFERROR(INDEX(Baarn!$I$4:$I$38,MATCH($A144,Baarn!$C$4:$C$38,0)),0))</f>
        <v>0</v>
      </c>
      <c r="H144" s="24" t="str">
        <f>IF($A144="","",IFERROR(INDEX(Scherpenzeel!$A$4:$A$103,MATCH($A144,Scherpenzeel!$C$4:$C$103,0)),""))</f>
        <v/>
      </c>
      <c r="I144" s="15">
        <f>IF($A144="",0,IFERROR(INDEX(Scherpenzeel!$I$4:$I$103,MATCH($A144,Scherpenzeel!$C$4:$C$103,0)),0))</f>
        <v>0</v>
      </c>
      <c r="J144" s="24" t="str">
        <f>IF($A144="","",IFERROR(INDEX('4'!$A$4:$A$103,MATCH($A144,'4'!$C$4:$C$103,0)),""))</f>
        <v/>
      </c>
      <c r="K144" s="15">
        <f>IF($A144="",0,IFERROR(INDEX('4'!$I$4:$I$103,MATCH($A144,'4'!$C$4:$C$103,0)),0))</f>
        <v>0</v>
      </c>
      <c r="L144" s="24" t="str">
        <f>IF($A144="","",IFERROR(INDEX('5'!$A$4:$A$103,MATCH($A144,'5'!$C$4:$C$103,0)),""))</f>
        <v/>
      </c>
      <c r="M144" s="15">
        <f>IF($A144="",0,IFERROR(INDEX('5'!$I$4:$I$103,MATCH($A144,'5'!$C$4:$C$103,0)),0))</f>
        <v>0</v>
      </c>
      <c r="N144" s="25" t="str">
        <f>IF($A144="","",E144+G144+I144+K144+M144)</f>
        <v/>
      </c>
      <c r="O144" s="26" t="str">
        <f>IF(OR($A144="",N144="",N144=0),"",RANK(N144,$N$4:$N$203,0))</f>
        <v/>
      </c>
      <c r="AA144">
        <f>Scherpenzeel!C79</f>
        <v>0</v>
      </c>
      <c r="AB144">
        <f>IF(AA144="",0,IF(COUNTIF($AA$1:AA144,AA144)=1,1,0))</f>
        <v>0</v>
      </c>
      <c r="AC144" t="str">
        <f>IF(AB144=1,COUNTIF($AB$1:AB144,1),"")</f>
        <v/>
      </c>
    </row>
    <row r="145" spans="1:29" x14ac:dyDescent="0.25">
      <c r="A145" s="13" t="str">
        <f>IFERROR(INDEX($AA$1:$AA$368,MATCH(142,$AC$1:$AC$368,0)),"")</f>
        <v/>
      </c>
      <c r="B145" s="13" t="str">
        <f>IF($A145="","",IF(IFERROR(INDEX(Barneveld!$E$4:$E$36,MATCH($A145,Barneveld!$C$4:$C$36,0)),"")&lt;&gt;"",IFERROR(INDEX(Barneveld!$E$4:$E$36,MATCH($A145,Barneveld!$C$4:$C$36,0)),""),IF(IFERROR(INDEX(Baarn!$F$4:$F$38,MATCH($A145,Baarn!$C$4:$C$38,0)),"")&lt;&gt;"",IFERROR(INDEX(Baarn!$F$4:$F$38,MATCH($A145,Baarn!$C$4:$C$38,0)),""),IF(IFERROR(INDEX(Scherpenzeel!$F$4:$F$103,MATCH($A145,Scherpenzeel!$C$4:$C$103,0)),"")&lt;&gt;"",IFERROR(INDEX(Scherpenzeel!$F$4:$F$103,MATCH($A145,Scherpenzeel!$C$4:$C$103,0)),""),IF(IFERROR(INDEX('4'!$F$4:$F$103,MATCH($A145,'4'!$C$4:$C$103,0)),"")&lt;&gt;"",IFERROR(INDEX('4'!$F$4:$F$103,MATCH($A145,'4'!$C$4:$C$103,0)),""),IFERROR(INDEX('5'!$F$4:$F$103,MATCH($A145,'5'!$C$4:$C$103,0)),""))))))</f>
        <v/>
      </c>
      <c r="C145" s="13" t="str">
        <f>IF($A145="","",IF(IFERROR(INDEX(Barneveld!$D$4:$D$36,MATCH($A145,Barneveld!$C$4:$C$36,0)),"")&lt;&gt;"",IFERROR(INDEX(Barneveld!$D$4:$D$36,MATCH($A145,Barneveld!$C$4:$C$36,0)),""),IF(IFERROR(INDEX(Baarn!$E$4:$E$38,MATCH($A145,Baarn!$C$4:$C$38,0)),"")&lt;&gt;"",IFERROR(INDEX(Baarn!$E$4:$E$38,MATCH($A145,Baarn!$C$4:$C$38,0)),""),IF(IFERROR(INDEX(Scherpenzeel!$E$4:$E$103,MATCH($A145,Scherpenzeel!$C$4:$C$103,0)),"")&lt;&gt;"",IFERROR(INDEX(Scherpenzeel!$E$4:$E$103,MATCH($A145,Scherpenzeel!$C$4:$C$103,0)),""),IF(IFERROR(INDEX('4'!$E$4:$E$103,MATCH($A145,'4'!$C$4:$C$103,0)),"")&lt;&gt;"",IFERROR(INDEX('4'!$E$4:$E$103,MATCH($A145,'4'!$C$4:$C$103,0)),""),IFERROR(INDEX('5'!$E$4:$E$103,MATCH($A145,'5'!$C$4:$C$103,0)),""))))))</f>
        <v/>
      </c>
      <c r="D145" s="24" t="str">
        <f>IF($A145="","",IFERROR(INDEX(Barneveld!$A$4:$A$36,MATCH($A145,Barneveld!$C$4:$C$36,0)),""))</f>
        <v/>
      </c>
      <c r="E145" s="15">
        <f>IF($A145="",0,IFERROR(INDEX(Barneveld!$H$4:$H$36,MATCH($A145,Barneveld!$C$4:$C$36,0)),0))</f>
        <v>0</v>
      </c>
      <c r="F145" s="24" t="str">
        <f>IF($A145="","",IFERROR(INDEX(Baarn!$A$4:$A$38,MATCH($A145,Baarn!$C$4:$C$38,0)),""))</f>
        <v/>
      </c>
      <c r="G145" s="15">
        <f>IF($A145="",0,IFERROR(INDEX(Baarn!$I$4:$I$38,MATCH($A145,Baarn!$C$4:$C$38,0)),0))</f>
        <v>0</v>
      </c>
      <c r="H145" s="24" t="str">
        <f>IF($A145="","",IFERROR(INDEX(Scherpenzeel!$A$4:$A$103,MATCH($A145,Scherpenzeel!$C$4:$C$103,0)),""))</f>
        <v/>
      </c>
      <c r="I145" s="15">
        <f>IF($A145="",0,IFERROR(INDEX(Scherpenzeel!$I$4:$I$103,MATCH($A145,Scherpenzeel!$C$4:$C$103,0)),0))</f>
        <v>0</v>
      </c>
      <c r="J145" s="24" t="str">
        <f>IF($A145="","",IFERROR(INDEX('4'!$A$4:$A$103,MATCH($A145,'4'!$C$4:$C$103,0)),""))</f>
        <v/>
      </c>
      <c r="K145" s="15">
        <f>IF($A145="",0,IFERROR(INDEX('4'!$I$4:$I$103,MATCH($A145,'4'!$C$4:$C$103,0)),0))</f>
        <v>0</v>
      </c>
      <c r="L145" s="24" t="str">
        <f>IF($A145="","",IFERROR(INDEX('5'!$A$4:$A$103,MATCH($A145,'5'!$C$4:$C$103,0)),""))</f>
        <v/>
      </c>
      <c r="M145" s="15">
        <f>IF($A145="",0,IFERROR(INDEX('5'!$I$4:$I$103,MATCH($A145,'5'!$C$4:$C$103,0)),0))</f>
        <v>0</v>
      </c>
      <c r="N145" s="25" t="str">
        <f>IF($A145="","",E145+G145+I145+K145+M145)</f>
        <v/>
      </c>
      <c r="O145" s="26" t="str">
        <f>IF(OR($A145="",N145="",N145=0),"",RANK(N145,$N$4:$N$203,0))</f>
        <v/>
      </c>
      <c r="AA145">
        <f>Scherpenzeel!C80</f>
        <v>0</v>
      </c>
      <c r="AB145">
        <f>IF(AA145="",0,IF(COUNTIF($AA$1:AA145,AA145)=1,1,0))</f>
        <v>0</v>
      </c>
      <c r="AC145" t="str">
        <f>IF(AB145=1,COUNTIF($AB$1:AB145,1),"")</f>
        <v/>
      </c>
    </row>
    <row r="146" spans="1:29" x14ac:dyDescent="0.25">
      <c r="A146" s="13" t="str">
        <f>IFERROR(INDEX($AA$1:$AA$368,MATCH(143,$AC$1:$AC$368,0)),"")</f>
        <v/>
      </c>
      <c r="B146" s="13" t="str">
        <f>IF($A146="","",IF(IFERROR(INDEX(Barneveld!$E$4:$E$36,MATCH($A146,Barneveld!$C$4:$C$36,0)),"")&lt;&gt;"",IFERROR(INDEX(Barneveld!$E$4:$E$36,MATCH($A146,Barneveld!$C$4:$C$36,0)),""),IF(IFERROR(INDEX(Baarn!$F$4:$F$38,MATCH($A146,Baarn!$C$4:$C$38,0)),"")&lt;&gt;"",IFERROR(INDEX(Baarn!$F$4:$F$38,MATCH($A146,Baarn!$C$4:$C$38,0)),""),IF(IFERROR(INDEX(Scherpenzeel!$F$4:$F$103,MATCH($A146,Scherpenzeel!$C$4:$C$103,0)),"")&lt;&gt;"",IFERROR(INDEX(Scherpenzeel!$F$4:$F$103,MATCH($A146,Scherpenzeel!$C$4:$C$103,0)),""),IF(IFERROR(INDEX('4'!$F$4:$F$103,MATCH($A146,'4'!$C$4:$C$103,0)),"")&lt;&gt;"",IFERROR(INDEX('4'!$F$4:$F$103,MATCH($A146,'4'!$C$4:$C$103,0)),""),IFERROR(INDEX('5'!$F$4:$F$103,MATCH($A146,'5'!$C$4:$C$103,0)),""))))))</f>
        <v/>
      </c>
      <c r="C146" s="13" t="str">
        <f>IF($A146="","",IF(IFERROR(INDEX(Barneveld!$D$4:$D$36,MATCH($A146,Barneveld!$C$4:$C$36,0)),"")&lt;&gt;"",IFERROR(INDEX(Barneveld!$D$4:$D$36,MATCH($A146,Barneveld!$C$4:$C$36,0)),""),IF(IFERROR(INDEX(Baarn!$E$4:$E$38,MATCH($A146,Baarn!$C$4:$C$38,0)),"")&lt;&gt;"",IFERROR(INDEX(Baarn!$E$4:$E$38,MATCH($A146,Baarn!$C$4:$C$38,0)),""),IF(IFERROR(INDEX(Scherpenzeel!$E$4:$E$103,MATCH($A146,Scherpenzeel!$C$4:$C$103,0)),"")&lt;&gt;"",IFERROR(INDEX(Scherpenzeel!$E$4:$E$103,MATCH($A146,Scherpenzeel!$C$4:$C$103,0)),""),IF(IFERROR(INDEX('4'!$E$4:$E$103,MATCH($A146,'4'!$C$4:$C$103,0)),"")&lt;&gt;"",IFERROR(INDEX('4'!$E$4:$E$103,MATCH($A146,'4'!$C$4:$C$103,0)),""),IFERROR(INDEX('5'!$E$4:$E$103,MATCH($A146,'5'!$C$4:$C$103,0)),""))))))</f>
        <v/>
      </c>
      <c r="D146" s="24" t="str">
        <f>IF($A146="","",IFERROR(INDEX(Barneveld!$A$4:$A$36,MATCH($A146,Barneveld!$C$4:$C$36,0)),""))</f>
        <v/>
      </c>
      <c r="E146" s="15">
        <f>IF($A146="",0,IFERROR(INDEX(Barneveld!$H$4:$H$36,MATCH($A146,Barneveld!$C$4:$C$36,0)),0))</f>
        <v>0</v>
      </c>
      <c r="F146" s="24" t="str">
        <f>IF($A146="","",IFERROR(INDEX(Baarn!$A$4:$A$38,MATCH($A146,Baarn!$C$4:$C$38,0)),""))</f>
        <v/>
      </c>
      <c r="G146" s="15">
        <f>IF($A146="",0,IFERROR(INDEX(Baarn!$I$4:$I$38,MATCH($A146,Baarn!$C$4:$C$38,0)),0))</f>
        <v>0</v>
      </c>
      <c r="H146" s="24" t="str">
        <f>IF($A146="","",IFERROR(INDEX(Scherpenzeel!$A$4:$A$103,MATCH($A146,Scherpenzeel!$C$4:$C$103,0)),""))</f>
        <v/>
      </c>
      <c r="I146" s="15">
        <f>IF($A146="",0,IFERROR(INDEX(Scherpenzeel!$I$4:$I$103,MATCH($A146,Scherpenzeel!$C$4:$C$103,0)),0))</f>
        <v>0</v>
      </c>
      <c r="J146" s="24" t="str">
        <f>IF($A146="","",IFERROR(INDEX('4'!$A$4:$A$103,MATCH($A146,'4'!$C$4:$C$103,0)),""))</f>
        <v/>
      </c>
      <c r="K146" s="15">
        <f>IF($A146="",0,IFERROR(INDEX('4'!$I$4:$I$103,MATCH($A146,'4'!$C$4:$C$103,0)),0))</f>
        <v>0</v>
      </c>
      <c r="L146" s="24" t="str">
        <f>IF($A146="","",IFERROR(INDEX('5'!$A$4:$A$103,MATCH($A146,'5'!$C$4:$C$103,0)),""))</f>
        <v/>
      </c>
      <c r="M146" s="15">
        <f>IF($A146="",0,IFERROR(INDEX('5'!$I$4:$I$103,MATCH($A146,'5'!$C$4:$C$103,0)),0))</f>
        <v>0</v>
      </c>
      <c r="N146" s="25" t="str">
        <f>IF($A146="","",E146+G146+I146+K146+M146)</f>
        <v/>
      </c>
      <c r="O146" s="26" t="str">
        <f>IF(OR($A146="",N146="",N146=0),"",RANK(N146,$N$4:$N$203,0))</f>
        <v/>
      </c>
      <c r="AA146">
        <f>Scherpenzeel!C81</f>
        <v>0</v>
      </c>
      <c r="AB146">
        <f>IF(AA146="",0,IF(COUNTIF($AA$1:AA146,AA146)=1,1,0))</f>
        <v>0</v>
      </c>
      <c r="AC146" t="str">
        <f>IF(AB146=1,COUNTIF($AB$1:AB146,1),"")</f>
        <v/>
      </c>
    </row>
    <row r="147" spans="1:29" x14ac:dyDescent="0.25">
      <c r="A147" s="13" t="str">
        <f>IFERROR(INDEX($AA$1:$AA$368,MATCH(144,$AC$1:$AC$368,0)),"")</f>
        <v/>
      </c>
      <c r="B147" s="13" t="str">
        <f>IF($A147="","",IF(IFERROR(INDEX(Barneveld!$E$4:$E$36,MATCH($A147,Barneveld!$C$4:$C$36,0)),"")&lt;&gt;"",IFERROR(INDEX(Barneveld!$E$4:$E$36,MATCH($A147,Barneveld!$C$4:$C$36,0)),""),IF(IFERROR(INDEX(Baarn!$F$4:$F$38,MATCH($A147,Baarn!$C$4:$C$38,0)),"")&lt;&gt;"",IFERROR(INDEX(Baarn!$F$4:$F$38,MATCH($A147,Baarn!$C$4:$C$38,0)),""),IF(IFERROR(INDEX(Scherpenzeel!$F$4:$F$103,MATCH($A147,Scherpenzeel!$C$4:$C$103,0)),"")&lt;&gt;"",IFERROR(INDEX(Scherpenzeel!$F$4:$F$103,MATCH($A147,Scherpenzeel!$C$4:$C$103,0)),""),IF(IFERROR(INDEX('4'!$F$4:$F$103,MATCH($A147,'4'!$C$4:$C$103,0)),"")&lt;&gt;"",IFERROR(INDEX('4'!$F$4:$F$103,MATCH($A147,'4'!$C$4:$C$103,0)),""),IFERROR(INDEX('5'!$F$4:$F$103,MATCH($A147,'5'!$C$4:$C$103,0)),""))))))</f>
        <v/>
      </c>
      <c r="C147" s="13" t="str">
        <f>IF($A147="","",IF(IFERROR(INDEX(Barneveld!$D$4:$D$36,MATCH($A147,Barneveld!$C$4:$C$36,0)),"")&lt;&gt;"",IFERROR(INDEX(Barneveld!$D$4:$D$36,MATCH($A147,Barneveld!$C$4:$C$36,0)),""),IF(IFERROR(INDEX(Baarn!$E$4:$E$38,MATCH($A147,Baarn!$C$4:$C$38,0)),"")&lt;&gt;"",IFERROR(INDEX(Baarn!$E$4:$E$38,MATCH($A147,Baarn!$C$4:$C$38,0)),""),IF(IFERROR(INDEX(Scherpenzeel!$E$4:$E$103,MATCH($A147,Scherpenzeel!$C$4:$C$103,0)),"")&lt;&gt;"",IFERROR(INDEX(Scherpenzeel!$E$4:$E$103,MATCH($A147,Scherpenzeel!$C$4:$C$103,0)),""),IF(IFERROR(INDEX('4'!$E$4:$E$103,MATCH($A147,'4'!$C$4:$C$103,0)),"")&lt;&gt;"",IFERROR(INDEX('4'!$E$4:$E$103,MATCH($A147,'4'!$C$4:$C$103,0)),""),IFERROR(INDEX('5'!$E$4:$E$103,MATCH($A147,'5'!$C$4:$C$103,0)),""))))))</f>
        <v/>
      </c>
      <c r="D147" s="24" t="str">
        <f>IF($A147="","",IFERROR(INDEX(Barneveld!$A$4:$A$36,MATCH($A147,Barneveld!$C$4:$C$36,0)),""))</f>
        <v/>
      </c>
      <c r="E147" s="15">
        <f>IF($A147="",0,IFERROR(INDEX(Barneveld!$H$4:$H$36,MATCH($A147,Barneveld!$C$4:$C$36,0)),0))</f>
        <v>0</v>
      </c>
      <c r="F147" s="24" t="str">
        <f>IF($A147="","",IFERROR(INDEX(Baarn!$A$4:$A$38,MATCH($A147,Baarn!$C$4:$C$38,0)),""))</f>
        <v/>
      </c>
      <c r="G147" s="15">
        <f>IF($A147="",0,IFERROR(INDEX(Baarn!$I$4:$I$38,MATCH($A147,Baarn!$C$4:$C$38,0)),0))</f>
        <v>0</v>
      </c>
      <c r="H147" s="24" t="str">
        <f>IF($A147="","",IFERROR(INDEX(Scherpenzeel!$A$4:$A$103,MATCH($A147,Scherpenzeel!$C$4:$C$103,0)),""))</f>
        <v/>
      </c>
      <c r="I147" s="15">
        <f>IF($A147="",0,IFERROR(INDEX(Scherpenzeel!$I$4:$I$103,MATCH($A147,Scherpenzeel!$C$4:$C$103,0)),0))</f>
        <v>0</v>
      </c>
      <c r="J147" s="24" t="str">
        <f>IF($A147="","",IFERROR(INDEX('4'!$A$4:$A$103,MATCH($A147,'4'!$C$4:$C$103,0)),""))</f>
        <v/>
      </c>
      <c r="K147" s="15">
        <f>IF($A147="",0,IFERROR(INDEX('4'!$I$4:$I$103,MATCH($A147,'4'!$C$4:$C$103,0)),0))</f>
        <v>0</v>
      </c>
      <c r="L147" s="24" t="str">
        <f>IF($A147="","",IFERROR(INDEX('5'!$A$4:$A$103,MATCH($A147,'5'!$C$4:$C$103,0)),""))</f>
        <v/>
      </c>
      <c r="M147" s="15">
        <f>IF($A147="",0,IFERROR(INDEX('5'!$I$4:$I$103,MATCH($A147,'5'!$C$4:$C$103,0)),0))</f>
        <v>0</v>
      </c>
      <c r="N147" s="25" t="str">
        <f>IF($A147="","",E147+G147+I147+K147+M147)</f>
        <v/>
      </c>
      <c r="O147" s="26" t="str">
        <f>IF(OR($A147="",N147="",N147=0),"",RANK(N147,$N$4:$N$203,0))</f>
        <v/>
      </c>
      <c r="AA147">
        <f>Scherpenzeel!C82</f>
        <v>0</v>
      </c>
      <c r="AB147">
        <f>IF(AA147="",0,IF(COUNTIF($AA$1:AA147,AA147)=1,1,0))</f>
        <v>0</v>
      </c>
      <c r="AC147" t="str">
        <f>IF(AB147=1,COUNTIF($AB$1:AB147,1),"")</f>
        <v/>
      </c>
    </row>
    <row r="148" spans="1:29" x14ac:dyDescent="0.25">
      <c r="A148" s="13" t="str">
        <f>IFERROR(INDEX($AA$1:$AA$368,MATCH(145,$AC$1:$AC$368,0)),"")</f>
        <v/>
      </c>
      <c r="B148" s="13" t="str">
        <f>IF($A148="","",IF(IFERROR(INDEX(Barneveld!$E$4:$E$36,MATCH($A148,Barneveld!$C$4:$C$36,0)),"")&lt;&gt;"",IFERROR(INDEX(Barneveld!$E$4:$E$36,MATCH($A148,Barneveld!$C$4:$C$36,0)),""),IF(IFERROR(INDEX(Baarn!$F$4:$F$38,MATCH($A148,Baarn!$C$4:$C$38,0)),"")&lt;&gt;"",IFERROR(INDEX(Baarn!$F$4:$F$38,MATCH($A148,Baarn!$C$4:$C$38,0)),""),IF(IFERROR(INDEX(Scherpenzeel!$F$4:$F$103,MATCH($A148,Scherpenzeel!$C$4:$C$103,0)),"")&lt;&gt;"",IFERROR(INDEX(Scherpenzeel!$F$4:$F$103,MATCH($A148,Scherpenzeel!$C$4:$C$103,0)),""),IF(IFERROR(INDEX('4'!$F$4:$F$103,MATCH($A148,'4'!$C$4:$C$103,0)),"")&lt;&gt;"",IFERROR(INDEX('4'!$F$4:$F$103,MATCH($A148,'4'!$C$4:$C$103,0)),""),IFERROR(INDEX('5'!$F$4:$F$103,MATCH($A148,'5'!$C$4:$C$103,0)),""))))))</f>
        <v/>
      </c>
      <c r="C148" s="13" t="str">
        <f>IF($A148="","",IF(IFERROR(INDEX(Barneveld!$D$4:$D$36,MATCH($A148,Barneveld!$C$4:$C$36,0)),"")&lt;&gt;"",IFERROR(INDEX(Barneveld!$D$4:$D$36,MATCH($A148,Barneveld!$C$4:$C$36,0)),""),IF(IFERROR(INDEX(Baarn!$E$4:$E$38,MATCH($A148,Baarn!$C$4:$C$38,0)),"")&lt;&gt;"",IFERROR(INDEX(Baarn!$E$4:$E$38,MATCH($A148,Baarn!$C$4:$C$38,0)),""),IF(IFERROR(INDEX(Scherpenzeel!$E$4:$E$103,MATCH($A148,Scherpenzeel!$C$4:$C$103,0)),"")&lt;&gt;"",IFERROR(INDEX(Scherpenzeel!$E$4:$E$103,MATCH($A148,Scherpenzeel!$C$4:$C$103,0)),""),IF(IFERROR(INDEX('4'!$E$4:$E$103,MATCH($A148,'4'!$C$4:$C$103,0)),"")&lt;&gt;"",IFERROR(INDEX('4'!$E$4:$E$103,MATCH($A148,'4'!$C$4:$C$103,0)),""),IFERROR(INDEX('5'!$E$4:$E$103,MATCH($A148,'5'!$C$4:$C$103,0)),""))))))</f>
        <v/>
      </c>
      <c r="D148" s="24" t="str">
        <f>IF($A148="","",IFERROR(INDEX(Barneveld!$A$4:$A$36,MATCH($A148,Barneveld!$C$4:$C$36,0)),""))</f>
        <v/>
      </c>
      <c r="E148" s="15">
        <f>IF($A148="",0,IFERROR(INDEX(Barneveld!$H$4:$H$36,MATCH($A148,Barneveld!$C$4:$C$36,0)),0))</f>
        <v>0</v>
      </c>
      <c r="F148" s="24" t="str">
        <f>IF($A148="","",IFERROR(INDEX(Baarn!$A$4:$A$38,MATCH($A148,Baarn!$C$4:$C$38,0)),""))</f>
        <v/>
      </c>
      <c r="G148" s="15">
        <f>IF($A148="",0,IFERROR(INDEX(Baarn!$I$4:$I$38,MATCH($A148,Baarn!$C$4:$C$38,0)),0))</f>
        <v>0</v>
      </c>
      <c r="H148" s="24" t="str">
        <f>IF($A148="","",IFERROR(INDEX(Scherpenzeel!$A$4:$A$103,MATCH($A148,Scherpenzeel!$C$4:$C$103,0)),""))</f>
        <v/>
      </c>
      <c r="I148" s="15">
        <f>IF($A148="",0,IFERROR(INDEX(Scherpenzeel!$I$4:$I$103,MATCH($A148,Scherpenzeel!$C$4:$C$103,0)),0))</f>
        <v>0</v>
      </c>
      <c r="J148" s="24" t="str">
        <f>IF($A148="","",IFERROR(INDEX('4'!$A$4:$A$103,MATCH($A148,'4'!$C$4:$C$103,0)),""))</f>
        <v/>
      </c>
      <c r="K148" s="15">
        <f>IF($A148="",0,IFERROR(INDEX('4'!$I$4:$I$103,MATCH($A148,'4'!$C$4:$C$103,0)),0))</f>
        <v>0</v>
      </c>
      <c r="L148" s="24" t="str">
        <f>IF($A148="","",IFERROR(INDEX('5'!$A$4:$A$103,MATCH($A148,'5'!$C$4:$C$103,0)),""))</f>
        <v/>
      </c>
      <c r="M148" s="15">
        <f>IF($A148="",0,IFERROR(INDEX('5'!$I$4:$I$103,MATCH($A148,'5'!$C$4:$C$103,0)),0))</f>
        <v>0</v>
      </c>
      <c r="N148" s="25" t="str">
        <f>IF($A148="","",E148+G148+I148+K148+M148)</f>
        <v/>
      </c>
      <c r="O148" s="26" t="str">
        <f>IF(OR($A148="",N148="",N148=0),"",RANK(N148,$N$4:$N$203,0))</f>
        <v/>
      </c>
      <c r="AA148">
        <f>Scherpenzeel!C83</f>
        <v>0</v>
      </c>
      <c r="AB148">
        <f>IF(AA148="",0,IF(COUNTIF($AA$1:AA148,AA148)=1,1,0))</f>
        <v>0</v>
      </c>
      <c r="AC148" t="str">
        <f>IF(AB148=1,COUNTIF($AB$1:AB148,1),"")</f>
        <v/>
      </c>
    </row>
    <row r="149" spans="1:29" x14ac:dyDescent="0.25">
      <c r="A149" s="13" t="str">
        <f>IFERROR(INDEX($AA$1:$AA$368,MATCH(146,$AC$1:$AC$368,0)),"")</f>
        <v/>
      </c>
      <c r="B149" s="13" t="str">
        <f>IF($A149="","",IF(IFERROR(INDEX(Barneveld!$E$4:$E$36,MATCH($A149,Barneveld!$C$4:$C$36,0)),"")&lt;&gt;"",IFERROR(INDEX(Barneveld!$E$4:$E$36,MATCH($A149,Barneveld!$C$4:$C$36,0)),""),IF(IFERROR(INDEX(Baarn!$F$4:$F$38,MATCH($A149,Baarn!$C$4:$C$38,0)),"")&lt;&gt;"",IFERROR(INDEX(Baarn!$F$4:$F$38,MATCH($A149,Baarn!$C$4:$C$38,0)),""),IF(IFERROR(INDEX(Scherpenzeel!$F$4:$F$103,MATCH($A149,Scherpenzeel!$C$4:$C$103,0)),"")&lt;&gt;"",IFERROR(INDEX(Scherpenzeel!$F$4:$F$103,MATCH($A149,Scherpenzeel!$C$4:$C$103,0)),""),IF(IFERROR(INDEX('4'!$F$4:$F$103,MATCH($A149,'4'!$C$4:$C$103,0)),"")&lt;&gt;"",IFERROR(INDEX('4'!$F$4:$F$103,MATCH($A149,'4'!$C$4:$C$103,0)),""),IFERROR(INDEX('5'!$F$4:$F$103,MATCH($A149,'5'!$C$4:$C$103,0)),""))))))</f>
        <v/>
      </c>
      <c r="C149" s="13" t="str">
        <f>IF($A149="","",IF(IFERROR(INDEX(Barneveld!$D$4:$D$36,MATCH($A149,Barneveld!$C$4:$C$36,0)),"")&lt;&gt;"",IFERROR(INDEX(Barneveld!$D$4:$D$36,MATCH($A149,Barneveld!$C$4:$C$36,0)),""),IF(IFERROR(INDEX(Baarn!$E$4:$E$38,MATCH($A149,Baarn!$C$4:$C$38,0)),"")&lt;&gt;"",IFERROR(INDEX(Baarn!$E$4:$E$38,MATCH($A149,Baarn!$C$4:$C$38,0)),""),IF(IFERROR(INDEX(Scherpenzeel!$E$4:$E$103,MATCH($A149,Scherpenzeel!$C$4:$C$103,0)),"")&lt;&gt;"",IFERROR(INDEX(Scherpenzeel!$E$4:$E$103,MATCH($A149,Scherpenzeel!$C$4:$C$103,0)),""),IF(IFERROR(INDEX('4'!$E$4:$E$103,MATCH($A149,'4'!$C$4:$C$103,0)),"")&lt;&gt;"",IFERROR(INDEX('4'!$E$4:$E$103,MATCH($A149,'4'!$C$4:$C$103,0)),""),IFERROR(INDEX('5'!$E$4:$E$103,MATCH($A149,'5'!$C$4:$C$103,0)),""))))))</f>
        <v/>
      </c>
      <c r="D149" s="24" t="str">
        <f>IF($A149="","",IFERROR(INDEX(Barneveld!$A$4:$A$36,MATCH($A149,Barneveld!$C$4:$C$36,0)),""))</f>
        <v/>
      </c>
      <c r="E149" s="15">
        <f>IF($A149="",0,IFERROR(INDEX(Barneveld!$H$4:$H$36,MATCH($A149,Barneveld!$C$4:$C$36,0)),0))</f>
        <v>0</v>
      </c>
      <c r="F149" s="24" t="str">
        <f>IF($A149="","",IFERROR(INDEX(Baarn!$A$4:$A$38,MATCH($A149,Baarn!$C$4:$C$38,0)),""))</f>
        <v/>
      </c>
      <c r="G149" s="15">
        <f>IF($A149="",0,IFERROR(INDEX(Baarn!$I$4:$I$38,MATCH($A149,Baarn!$C$4:$C$38,0)),0))</f>
        <v>0</v>
      </c>
      <c r="H149" s="24" t="str">
        <f>IF($A149="","",IFERROR(INDEX(Scherpenzeel!$A$4:$A$103,MATCH($A149,Scherpenzeel!$C$4:$C$103,0)),""))</f>
        <v/>
      </c>
      <c r="I149" s="15">
        <f>IF($A149="",0,IFERROR(INDEX(Scherpenzeel!$I$4:$I$103,MATCH($A149,Scherpenzeel!$C$4:$C$103,0)),0))</f>
        <v>0</v>
      </c>
      <c r="J149" s="24" t="str">
        <f>IF($A149="","",IFERROR(INDEX('4'!$A$4:$A$103,MATCH($A149,'4'!$C$4:$C$103,0)),""))</f>
        <v/>
      </c>
      <c r="K149" s="15">
        <f>IF($A149="",0,IFERROR(INDEX('4'!$I$4:$I$103,MATCH($A149,'4'!$C$4:$C$103,0)),0))</f>
        <v>0</v>
      </c>
      <c r="L149" s="24" t="str">
        <f>IF($A149="","",IFERROR(INDEX('5'!$A$4:$A$103,MATCH($A149,'5'!$C$4:$C$103,0)),""))</f>
        <v/>
      </c>
      <c r="M149" s="15">
        <f>IF($A149="",0,IFERROR(INDEX('5'!$I$4:$I$103,MATCH($A149,'5'!$C$4:$C$103,0)),0))</f>
        <v>0</v>
      </c>
      <c r="N149" s="25" t="str">
        <f>IF($A149="","",E149+G149+I149+K149+M149)</f>
        <v/>
      </c>
      <c r="O149" s="26" t="str">
        <f>IF(OR($A149="",N149="",N149=0),"",RANK(N149,$N$4:$N$203,0))</f>
        <v/>
      </c>
      <c r="AA149">
        <f>Scherpenzeel!C84</f>
        <v>0</v>
      </c>
      <c r="AB149">
        <f>IF(AA149="",0,IF(COUNTIF($AA$1:AA149,AA149)=1,1,0))</f>
        <v>0</v>
      </c>
      <c r="AC149" t="str">
        <f>IF(AB149=1,COUNTIF($AB$1:AB149,1),"")</f>
        <v/>
      </c>
    </row>
    <row r="150" spans="1:29" x14ac:dyDescent="0.25">
      <c r="A150" s="13" t="str">
        <f>IFERROR(INDEX($AA$1:$AA$368,MATCH(147,$AC$1:$AC$368,0)),"")</f>
        <v/>
      </c>
      <c r="B150" s="13" t="str">
        <f>IF($A150="","",IF(IFERROR(INDEX(Barneveld!$E$4:$E$36,MATCH($A150,Barneveld!$C$4:$C$36,0)),"")&lt;&gt;"",IFERROR(INDEX(Barneveld!$E$4:$E$36,MATCH($A150,Barneveld!$C$4:$C$36,0)),""),IF(IFERROR(INDEX(Baarn!$F$4:$F$38,MATCH($A150,Baarn!$C$4:$C$38,0)),"")&lt;&gt;"",IFERROR(INDEX(Baarn!$F$4:$F$38,MATCH($A150,Baarn!$C$4:$C$38,0)),""),IF(IFERROR(INDEX(Scherpenzeel!$F$4:$F$103,MATCH($A150,Scherpenzeel!$C$4:$C$103,0)),"")&lt;&gt;"",IFERROR(INDEX(Scherpenzeel!$F$4:$F$103,MATCH($A150,Scherpenzeel!$C$4:$C$103,0)),""),IF(IFERROR(INDEX('4'!$F$4:$F$103,MATCH($A150,'4'!$C$4:$C$103,0)),"")&lt;&gt;"",IFERROR(INDEX('4'!$F$4:$F$103,MATCH($A150,'4'!$C$4:$C$103,0)),""),IFERROR(INDEX('5'!$F$4:$F$103,MATCH($A150,'5'!$C$4:$C$103,0)),""))))))</f>
        <v/>
      </c>
      <c r="C150" s="13" t="str">
        <f>IF($A150="","",IF(IFERROR(INDEX(Barneveld!$D$4:$D$36,MATCH($A150,Barneveld!$C$4:$C$36,0)),"")&lt;&gt;"",IFERROR(INDEX(Barneveld!$D$4:$D$36,MATCH($A150,Barneveld!$C$4:$C$36,0)),""),IF(IFERROR(INDEX(Baarn!$E$4:$E$38,MATCH($A150,Baarn!$C$4:$C$38,0)),"")&lt;&gt;"",IFERROR(INDEX(Baarn!$E$4:$E$38,MATCH($A150,Baarn!$C$4:$C$38,0)),""),IF(IFERROR(INDEX(Scherpenzeel!$E$4:$E$103,MATCH($A150,Scherpenzeel!$C$4:$C$103,0)),"")&lt;&gt;"",IFERROR(INDEX(Scherpenzeel!$E$4:$E$103,MATCH($A150,Scherpenzeel!$C$4:$C$103,0)),""),IF(IFERROR(INDEX('4'!$E$4:$E$103,MATCH($A150,'4'!$C$4:$C$103,0)),"")&lt;&gt;"",IFERROR(INDEX('4'!$E$4:$E$103,MATCH($A150,'4'!$C$4:$C$103,0)),""),IFERROR(INDEX('5'!$E$4:$E$103,MATCH($A150,'5'!$C$4:$C$103,0)),""))))))</f>
        <v/>
      </c>
      <c r="D150" s="24" t="str">
        <f>IF($A150="","",IFERROR(INDEX(Barneveld!$A$4:$A$36,MATCH($A150,Barneveld!$C$4:$C$36,0)),""))</f>
        <v/>
      </c>
      <c r="E150" s="15">
        <f>IF($A150="",0,IFERROR(INDEX(Barneveld!$H$4:$H$36,MATCH($A150,Barneveld!$C$4:$C$36,0)),0))</f>
        <v>0</v>
      </c>
      <c r="F150" s="24" t="str">
        <f>IF($A150="","",IFERROR(INDEX(Baarn!$A$4:$A$38,MATCH($A150,Baarn!$C$4:$C$38,0)),""))</f>
        <v/>
      </c>
      <c r="G150" s="15">
        <f>IF($A150="",0,IFERROR(INDEX(Baarn!$I$4:$I$38,MATCH($A150,Baarn!$C$4:$C$38,0)),0))</f>
        <v>0</v>
      </c>
      <c r="H150" s="24" t="str">
        <f>IF($A150="","",IFERROR(INDEX(Scherpenzeel!$A$4:$A$103,MATCH($A150,Scherpenzeel!$C$4:$C$103,0)),""))</f>
        <v/>
      </c>
      <c r="I150" s="15">
        <f>IF($A150="",0,IFERROR(INDEX(Scherpenzeel!$I$4:$I$103,MATCH($A150,Scherpenzeel!$C$4:$C$103,0)),0))</f>
        <v>0</v>
      </c>
      <c r="J150" s="24" t="str">
        <f>IF($A150="","",IFERROR(INDEX('4'!$A$4:$A$103,MATCH($A150,'4'!$C$4:$C$103,0)),""))</f>
        <v/>
      </c>
      <c r="K150" s="15">
        <f>IF($A150="",0,IFERROR(INDEX('4'!$I$4:$I$103,MATCH($A150,'4'!$C$4:$C$103,0)),0))</f>
        <v>0</v>
      </c>
      <c r="L150" s="24" t="str">
        <f>IF($A150="","",IFERROR(INDEX('5'!$A$4:$A$103,MATCH($A150,'5'!$C$4:$C$103,0)),""))</f>
        <v/>
      </c>
      <c r="M150" s="15">
        <f>IF($A150="",0,IFERROR(INDEX('5'!$I$4:$I$103,MATCH($A150,'5'!$C$4:$C$103,0)),0))</f>
        <v>0</v>
      </c>
      <c r="N150" s="25" t="str">
        <f>IF($A150="","",E150+G150+I150+K150+M150)</f>
        <v/>
      </c>
      <c r="O150" s="26" t="str">
        <f>IF(OR($A150="",N150="",N150=0),"",RANK(N150,$N$4:$N$203,0))</f>
        <v/>
      </c>
      <c r="AA150">
        <f>Scherpenzeel!C85</f>
        <v>0</v>
      </c>
      <c r="AB150">
        <f>IF(AA150="",0,IF(COUNTIF($AA$1:AA150,AA150)=1,1,0))</f>
        <v>0</v>
      </c>
      <c r="AC150" t="str">
        <f>IF(AB150=1,COUNTIF($AB$1:AB150,1),"")</f>
        <v/>
      </c>
    </row>
    <row r="151" spans="1:29" x14ac:dyDescent="0.25">
      <c r="A151" s="13" t="str">
        <f>IFERROR(INDEX($AA$1:$AA$368,MATCH(148,$AC$1:$AC$368,0)),"")</f>
        <v/>
      </c>
      <c r="B151" s="13" t="str">
        <f>IF($A151="","",IF(IFERROR(INDEX(Barneveld!$E$4:$E$36,MATCH($A151,Barneveld!$C$4:$C$36,0)),"")&lt;&gt;"",IFERROR(INDEX(Barneveld!$E$4:$E$36,MATCH($A151,Barneveld!$C$4:$C$36,0)),""),IF(IFERROR(INDEX(Baarn!$F$4:$F$38,MATCH($A151,Baarn!$C$4:$C$38,0)),"")&lt;&gt;"",IFERROR(INDEX(Baarn!$F$4:$F$38,MATCH($A151,Baarn!$C$4:$C$38,0)),""),IF(IFERROR(INDEX(Scherpenzeel!$F$4:$F$103,MATCH($A151,Scherpenzeel!$C$4:$C$103,0)),"")&lt;&gt;"",IFERROR(INDEX(Scherpenzeel!$F$4:$F$103,MATCH($A151,Scherpenzeel!$C$4:$C$103,0)),""),IF(IFERROR(INDEX('4'!$F$4:$F$103,MATCH($A151,'4'!$C$4:$C$103,0)),"")&lt;&gt;"",IFERROR(INDEX('4'!$F$4:$F$103,MATCH($A151,'4'!$C$4:$C$103,0)),""),IFERROR(INDEX('5'!$F$4:$F$103,MATCH($A151,'5'!$C$4:$C$103,0)),""))))))</f>
        <v/>
      </c>
      <c r="C151" s="13" t="str">
        <f>IF($A151="","",IF(IFERROR(INDEX(Barneveld!$D$4:$D$36,MATCH($A151,Barneveld!$C$4:$C$36,0)),"")&lt;&gt;"",IFERROR(INDEX(Barneveld!$D$4:$D$36,MATCH($A151,Barneveld!$C$4:$C$36,0)),""),IF(IFERROR(INDEX(Baarn!$E$4:$E$38,MATCH($A151,Baarn!$C$4:$C$38,0)),"")&lt;&gt;"",IFERROR(INDEX(Baarn!$E$4:$E$38,MATCH($A151,Baarn!$C$4:$C$38,0)),""),IF(IFERROR(INDEX(Scherpenzeel!$E$4:$E$103,MATCH($A151,Scherpenzeel!$C$4:$C$103,0)),"")&lt;&gt;"",IFERROR(INDEX(Scherpenzeel!$E$4:$E$103,MATCH($A151,Scherpenzeel!$C$4:$C$103,0)),""),IF(IFERROR(INDEX('4'!$E$4:$E$103,MATCH($A151,'4'!$C$4:$C$103,0)),"")&lt;&gt;"",IFERROR(INDEX('4'!$E$4:$E$103,MATCH($A151,'4'!$C$4:$C$103,0)),""),IFERROR(INDEX('5'!$E$4:$E$103,MATCH($A151,'5'!$C$4:$C$103,0)),""))))))</f>
        <v/>
      </c>
      <c r="D151" s="24" t="str">
        <f>IF($A151="","",IFERROR(INDEX(Barneveld!$A$4:$A$36,MATCH($A151,Barneveld!$C$4:$C$36,0)),""))</f>
        <v/>
      </c>
      <c r="E151" s="15">
        <f>IF($A151="",0,IFERROR(INDEX(Barneveld!$H$4:$H$36,MATCH($A151,Barneveld!$C$4:$C$36,0)),0))</f>
        <v>0</v>
      </c>
      <c r="F151" s="24" t="str">
        <f>IF($A151="","",IFERROR(INDEX(Baarn!$A$4:$A$38,MATCH($A151,Baarn!$C$4:$C$38,0)),""))</f>
        <v/>
      </c>
      <c r="G151" s="15">
        <f>IF($A151="",0,IFERROR(INDEX(Baarn!$I$4:$I$38,MATCH($A151,Baarn!$C$4:$C$38,0)),0))</f>
        <v>0</v>
      </c>
      <c r="H151" s="24" t="str">
        <f>IF($A151="","",IFERROR(INDEX(Scherpenzeel!$A$4:$A$103,MATCH($A151,Scherpenzeel!$C$4:$C$103,0)),""))</f>
        <v/>
      </c>
      <c r="I151" s="15">
        <f>IF($A151="",0,IFERROR(INDEX(Scherpenzeel!$I$4:$I$103,MATCH($A151,Scherpenzeel!$C$4:$C$103,0)),0))</f>
        <v>0</v>
      </c>
      <c r="J151" s="24" t="str">
        <f>IF($A151="","",IFERROR(INDEX('4'!$A$4:$A$103,MATCH($A151,'4'!$C$4:$C$103,0)),""))</f>
        <v/>
      </c>
      <c r="K151" s="15">
        <f>IF($A151="",0,IFERROR(INDEX('4'!$I$4:$I$103,MATCH($A151,'4'!$C$4:$C$103,0)),0))</f>
        <v>0</v>
      </c>
      <c r="L151" s="24" t="str">
        <f>IF($A151="","",IFERROR(INDEX('5'!$A$4:$A$103,MATCH($A151,'5'!$C$4:$C$103,0)),""))</f>
        <v/>
      </c>
      <c r="M151" s="15">
        <f>IF($A151="",0,IFERROR(INDEX('5'!$I$4:$I$103,MATCH($A151,'5'!$C$4:$C$103,0)),0))</f>
        <v>0</v>
      </c>
      <c r="N151" s="25" t="str">
        <f>IF($A151="","",E151+G151+I151+K151+M151)</f>
        <v/>
      </c>
      <c r="O151" s="26" t="str">
        <f>IF(OR($A151="",N151="",N151=0),"",RANK(N151,$N$4:$N$203,0))</f>
        <v/>
      </c>
      <c r="AA151">
        <f>Scherpenzeel!C86</f>
        <v>0</v>
      </c>
      <c r="AB151">
        <f>IF(AA151="",0,IF(COUNTIF($AA$1:AA151,AA151)=1,1,0))</f>
        <v>0</v>
      </c>
      <c r="AC151" t="str">
        <f>IF(AB151=1,COUNTIF($AB$1:AB151,1),"")</f>
        <v/>
      </c>
    </row>
    <row r="152" spans="1:29" x14ac:dyDescent="0.25">
      <c r="A152" s="13" t="str">
        <f>IFERROR(INDEX($AA$1:$AA$368,MATCH(149,$AC$1:$AC$368,0)),"")</f>
        <v/>
      </c>
      <c r="B152" s="13" t="str">
        <f>IF($A152="","",IF(IFERROR(INDEX(Barneveld!$E$4:$E$36,MATCH($A152,Barneveld!$C$4:$C$36,0)),"")&lt;&gt;"",IFERROR(INDEX(Barneveld!$E$4:$E$36,MATCH($A152,Barneveld!$C$4:$C$36,0)),""),IF(IFERROR(INDEX(Baarn!$F$4:$F$38,MATCH($A152,Baarn!$C$4:$C$38,0)),"")&lt;&gt;"",IFERROR(INDEX(Baarn!$F$4:$F$38,MATCH($A152,Baarn!$C$4:$C$38,0)),""),IF(IFERROR(INDEX(Scherpenzeel!$F$4:$F$103,MATCH($A152,Scherpenzeel!$C$4:$C$103,0)),"")&lt;&gt;"",IFERROR(INDEX(Scherpenzeel!$F$4:$F$103,MATCH($A152,Scherpenzeel!$C$4:$C$103,0)),""),IF(IFERROR(INDEX('4'!$F$4:$F$103,MATCH($A152,'4'!$C$4:$C$103,0)),"")&lt;&gt;"",IFERROR(INDEX('4'!$F$4:$F$103,MATCH($A152,'4'!$C$4:$C$103,0)),""),IFERROR(INDEX('5'!$F$4:$F$103,MATCH($A152,'5'!$C$4:$C$103,0)),""))))))</f>
        <v/>
      </c>
      <c r="C152" s="13" t="str">
        <f>IF($A152="","",IF(IFERROR(INDEX(Barneveld!$D$4:$D$36,MATCH($A152,Barneveld!$C$4:$C$36,0)),"")&lt;&gt;"",IFERROR(INDEX(Barneveld!$D$4:$D$36,MATCH($A152,Barneveld!$C$4:$C$36,0)),""),IF(IFERROR(INDEX(Baarn!$E$4:$E$38,MATCH($A152,Baarn!$C$4:$C$38,0)),"")&lt;&gt;"",IFERROR(INDEX(Baarn!$E$4:$E$38,MATCH($A152,Baarn!$C$4:$C$38,0)),""),IF(IFERROR(INDEX(Scherpenzeel!$E$4:$E$103,MATCH($A152,Scherpenzeel!$C$4:$C$103,0)),"")&lt;&gt;"",IFERROR(INDEX(Scherpenzeel!$E$4:$E$103,MATCH($A152,Scherpenzeel!$C$4:$C$103,0)),""),IF(IFERROR(INDEX('4'!$E$4:$E$103,MATCH($A152,'4'!$C$4:$C$103,0)),"")&lt;&gt;"",IFERROR(INDEX('4'!$E$4:$E$103,MATCH($A152,'4'!$C$4:$C$103,0)),""),IFERROR(INDEX('5'!$E$4:$E$103,MATCH($A152,'5'!$C$4:$C$103,0)),""))))))</f>
        <v/>
      </c>
      <c r="D152" s="24" t="str">
        <f>IF($A152="","",IFERROR(INDEX(Barneveld!$A$4:$A$36,MATCH($A152,Barneveld!$C$4:$C$36,0)),""))</f>
        <v/>
      </c>
      <c r="E152" s="15">
        <f>IF($A152="",0,IFERROR(INDEX(Barneveld!$H$4:$H$36,MATCH($A152,Barneveld!$C$4:$C$36,0)),0))</f>
        <v>0</v>
      </c>
      <c r="F152" s="24" t="str">
        <f>IF($A152="","",IFERROR(INDEX(Baarn!$A$4:$A$38,MATCH($A152,Baarn!$C$4:$C$38,0)),""))</f>
        <v/>
      </c>
      <c r="G152" s="15">
        <f>IF($A152="",0,IFERROR(INDEX(Baarn!$I$4:$I$38,MATCH($A152,Baarn!$C$4:$C$38,0)),0))</f>
        <v>0</v>
      </c>
      <c r="H152" s="24" t="str">
        <f>IF($A152="","",IFERROR(INDEX(Scherpenzeel!$A$4:$A$103,MATCH($A152,Scherpenzeel!$C$4:$C$103,0)),""))</f>
        <v/>
      </c>
      <c r="I152" s="15">
        <f>IF($A152="",0,IFERROR(INDEX(Scherpenzeel!$I$4:$I$103,MATCH($A152,Scherpenzeel!$C$4:$C$103,0)),0))</f>
        <v>0</v>
      </c>
      <c r="J152" s="24" t="str">
        <f>IF($A152="","",IFERROR(INDEX('4'!$A$4:$A$103,MATCH($A152,'4'!$C$4:$C$103,0)),""))</f>
        <v/>
      </c>
      <c r="K152" s="15">
        <f>IF($A152="",0,IFERROR(INDEX('4'!$I$4:$I$103,MATCH($A152,'4'!$C$4:$C$103,0)),0))</f>
        <v>0</v>
      </c>
      <c r="L152" s="24" t="str">
        <f>IF($A152="","",IFERROR(INDEX('5'!$A$4:$A$103,MATCH($A152,'5'!$C$4:$C$103,0)),""))</f>
        <v/>
      </c>
      <c r="M152" s="15">
        <f>IF($A152="",0,IFERROR(INDEX('5'!$I$4:$I$103,MATCH($A152,'5'!$C$4:$C$103,0)),0))</f>
        <v>0</v>
      </c>
      <c r="N152" s="25" t="str">
        <f>IF($A152="","",E152+G152+I152+K152+M152)</f>
        <v/>
      </c>
      <c r="O152" s="26" t="str">
        <f>IF(OR($A152="",N152="",N152=0),"",RANK(N152,$N$4:$N$203,0))</f>
        <v/>
      </c>
      <c r="AA152">
        <f>Scherpenzeel!C87</f>
        <v>0</v>
      </c>
      <c r="AB152">
        <f>IF(AA152="",0,IF(COUNTIF($AA$1:AA152,AA152)=1,1,0))</f>
        <v>0</v>
      </c>
      <c r="AC152" t="str">
        <f>IF(AB152=1,COUNTIF($AB$1:AB152,1),"")</f>
        <v/>
      </c>
    </row>
    <row r="153" spans="1:29" x14ac:dyDescent="0.25">
      <c r="A153" s="13" t="str">
        <f>IFERROR(INDEX($AA$1:$AA$368,MATCH(150,$AC$1:$AC$368,0)),"")</f>
        <v/>
      </c>
      <c r="B153" s="13" t="str">
        <f>IF($A153="","",IF(IFERROR(INDEX(Barneveld!$E$4:$E$36,MATCH($A153,Barneveld!$C$4:$C$36,0)),"")&lt;&gt;"",IFERROR(INDEX(Barneveld!$E$4:$E$36,MATCH($A153,Barneveld!$C$4:$C$36,0)),""),IF(IFERROR(INDEX(Baarn!$F$4:$F$38,MATCH($A153,Baarn!$C$4:$C$38,0)),"")&lt;&gt;"",IFERROR(INDEX(Baarn!$F$4:$F$38,MATCH($A153,Baarn!$C$4:$C$38,0)),""),IF(IFERROR(INDEX(Scherpenzeel!$F$4:$F$103,MATCH($A153,Scherpenzeel!$C$4:$C$103,0)),"")&lt;&gt;"",IFERROR(INDEX(Scherpenzeel!$F$4:$F$103,MATCH($A153,Scherpenzeel!$C$4:$C$103,0)),""),IF(IFERROR(INDEX('4'!$F$4:$F$103,MATCH($A153,'4'!$C$4:$C$103,0)),"")&lt;&gt;"",IFERROR(INDEX('4'!$F$4:$F$103,MATCH($A153,'4'!$C$4:$C$103,0)),""),IFERROR(INDEX('5'!$F$4:$F$103,MATCH($A153,'5'!$C$4:$C$103,0)),""))))))</f>
        <v/>
      </c>
      <c r="C153" s="13" t="str">
        <f>IF($A153="","",IF(IFERROR(INDEX(Barneveld!$D$4:$D$36,MATCH($A153,Barneveld!$C$4:$C$36,0)),"")&lt;&gt;"",IFERROR(INDEX(Barneveld!$D$4:$D$36,MATCH($A153,Barneveld!$C$4:$C$36,0)),""),IF(IFERROR(INDEX(Baarn!$E$4:$E$38,MATCH($A153,Baarn!$C$4:$C$38,0)),"")&lt;&gt;"",IFERROR(INDEX(Baarn!$E$4:$E$38,MATCH($A153,Baarn!$C$4:$C$38,0)),""),IF(IFERROR(INDEX(Scherpenzeel!$E$4:$E$103,MATCH($A153,Scherpenzeel!$C$4:$C$103,0)),"")&lt;&gt;"",IFERROR(INDEX(Scherpenzeel!$E$4:$E$103,MATCH($A153,Scherpenzeel!$C$4:$C$103,0)),""),IF(IFERROR(INDEX('4'!$E$4:$E$103,MATCH($A153,'4'!$C$4:$C$103,0)),"")&lt;&gt;"",IFERROR(INDEX('4'!$E$4:$E$103,MATCH($A153,'4'!$C$4:$C$103,0)),""),IFERROR(INDEX('5'!$E$4:$E$103,MATCH($A153,'5'!$C$4:$C$103,0)),""))))))</f>
        <v/>
      </c>
      <c r="D153" s="24" t="str">
        <f>IF($A153="","",IFERROR(INDEX(Barneveld!$A$4:$A$36,MATCH($A153,Barneveld!$C$4:$C$36,0)),""))</f>
        <v/>
      </c>
      <c r="E153" s="15">
        <f>IF($A153="",0,IFERROR(INDEX(Barneveld!$H$4:$H$36,MATCH($A153,Barneveld!$C$4:$C$36,0)),0))</f>
        <v>0</v>
      </c>
      <c r="F153" s="24" t="str">
        <f>IF($A153="","",IFERROR(INDEX(Baarn!$A$4:$A$38,MATCH($A153,Baarn!$C$4:$C$38,0)),""))</f>
        <v/>
      </c>
      <c r="G153" s="15">
        <f>IF($A153="",0,IFERROR(INDEX(Baarn!$I$4:$I$38,MATCH($A153,Baarn!$C$4:$C$38,0)),0))</f>
        <v>0</v>
      </c>
      <c r="H153" s="24" t="str">
        <f>IF($A153="","",IFERROR(INDEX(Scherpenzeel!$A$4:$A$103,MATCH($A153,Scherpenzeel!$C$4:$C$103,0)),""))</f>
        <v/>
      </c>
      <c r="I153" s="15">
        <f>IF($A153="",0,IFERROR(INDEX(Scherpenzeel!$I$4:$I$103,MATCH($A153,Scherpenzeel!$C$4:$C$103,0)),0))</f>
        <v>0</v>
      </c>
      <c r="J153" s="24" t="str">
        <f>IF($A153="","",IFERROR(INDEX('4'!$A$4:$A$103,MATCH($A153,'4'!$C$4:$C$103,0)),""))</f>
        <v/>
      </c>
      <c r="K153" s="15">
        <f>IF($A153="",0,IFERROR(INDEX('4'!$I$4:$I$103,MATCH($A153,'4'!$C$4:$C$103,0)),0))</f>
        <v>0</v>
      </c>
      <c r="L153" s="24" t="str">
        <f>IF($A153="","",IFERROR(INDEX('5'!$A$4:$A$103,MATCH($A153,'5'!$C$4:$C$103,0)),""))</f>
        <v/>
      </c>
      <c r="M153" s="15">
        <f>IF($A153="",0,IFERROR(INDEX('5'!$I$4:$I$103,MATCH($A153,'5'!$C$4:$C$103,0)),0))</f>
        <v>0</v>
      </c>
      <c r="N153" s="25" t="str">
        <f>IF($A153="","",E153+G153+I153+K153+M153)</f>
        <v/>
      </c>
      <c r="O153" s="26" t="str">
        <f>IF(OR($A153="",N153="",N153=0),"",RANK(N153,$N$4:$N$203,0))</f>
        <v/>
      </c>
      <c r="AA153">
        <f>Scherpenzeel!C88</f>
        <v>0</v>
      </c>
      <c r="AB153">
        <f>IF(AA153="",0,IF(COUNTIF($AA$1:AA153,AA153)=1,1,0))</f>
        <v>0</v>
      </c>
      <c r="AC153" t="str">
        <f>IF(AB153=1,COUNTIF($AB$1:AB153,1),"")</f>
        <v/>
      </c>
    </row>
    <row r="154" spans="1:29" x14ac:dyDescent="0.25">
      <c r="A154" s="13" t="str">
        <f>IFERROR(INDEX($AA$1:$AA$368,MATCH(151,$AC$1:$AC$368,0)),"")</f>
        <v/>
      </c>
      <c r="B154" s="13" t="str">
        <f>IF($A154="","",IF(IFERROR(INDEX(Barneveld!$E$4:$E$36,MATCH($A154,Barneveld!$C$4:$C$36,0)),"")&lt;&gt;"",IFERROR(INDEX(Barneveld!$E$4:$E$36,MATCH($A154,Barneveld!$C$4:$C$36,0)),""),IF(IFERROR(INDEX(Baarn!$F$4:$F$38,MATCH($A154,Baarn!$C$4:$C$38,0)),"")&lt;&gt;"",IFERROR(INDEX(Baarn!$F$4:$F$38,MATCH($A154,Baarn!$C$4:$C$38,0)),""),IF(IFERROR(INDEX(Scherpenzeel!$F$4:$F$103,MATCH($A154,Scherpenzeel!$C$4:$C$103,0)),"")&lt;&gt;"",IFERROR(INDEX(Scherpenzeel!$F$4:$F$103,MATCH($A154,Scherpenzeel!$C$4:$C$103,0)),""),IF(IFERROR(INDEX('4'!$F$4:$F$103,MATCH($A154,'4'!$C$4:$C$103,0)),"")&lt;&gt;"",IFERROR(INDEX('4'!$F$4:$F$103,MATCH($A154,'4'!$C$4:$C$103,0)),""),IFERROR(INDEX('5'!$F$4:$F$103,MATCH($A154,'5'!$C$4:$C$103,0)),""))))))</f>
        <v/>
      </c>
      <c r="C154" s="13" t="str">
        <f>IF($A154="","",IF(IFERROR(INDEX(Barneveld!$D$4:$D$36,MATCH($A154,Barneveld!$C$4:$C$36,0)),"")&lt;&gt;"",IFERROR(INDEX(Barneveld!$D$4:$D$36,MATCH($A154,Barneveld!$C$4:$C$36,0)),""),IF(IFERROR(INDEX(Baarn!$E$4:$E$38,MATCH($A154,Baarn!$C$4:$C$38,0)),"")&lt;&gt;"",IFERROR(INDEX(Baarn!$E$4:$E$38,MATCH($A154,Baarn!$C$4:$C$38,0)),""),IF(IFERROR(INDEX(Scherpenzeel!$E$4:$E$103,MATCH($A154,Scherpenzeel!$C$4:$C$103,0)),"")&lt;&gt;"",IFERROR(INDEX(Scherpenzeel!$E$4:$E$103,MATCH($A154,Scherpenzeel!$C$4:$C$103,0)),""),IF(IFERROR(INDEX('4'!$E$4:$E$103,MATCH($A154,'4'!$C$4:$C$103,0)),"")&lt;&gt;"",IFERROR(INDEX('4'!$E$4:$E$103,MATCH($A154,'4'!$C$4:$C$103,0)),""),IFERROR(INDEX('5'!$E$4:$E$103,MATCH($A154,'5'!$C$4:$C$103,0)),""))))))</f>
        <v/>
      </c>
      <c r="D154" s="24" t="str">
        <f>IF($A154="","",IFERROR(INDEX(Barneveld!$A$4:$A$36,MATCH($A154,Barneveld!$C$4:$C$36,0)),""))</f>
        <v/>
      </c>
      <c r="E154" s="15">
        <f>IF($A154="",0,IFERROR(INDEX(Barneveld!$H$4:$H$36,MATCH($A154,Barneveld!$C$4:$C$36,0)),0))</f>
        <v>0</v>
      </c>
      <c r="F154" s="24" t="str">
        <f>IF($A154="","",IFERROR(INDEX(Baarn!$A$4:$A$38,MATCH($A154,Baarn!$C$4:$C$38,0)),""))</f>
        <v/>
      </c>
      <c r="G154" s="15">
        <f>IF($A154="",0,IFERROR(INDEX(Baarn!$I$4:$I$38,MATCH($A154,Baarn!$C$4:$C$38,0)),0))</f>
        <v>0</v>
      </c>
      <c r="H154" s="24" t="str">
        <f>IF($A154="","",IFERROR(INDEX(Scherpenzeel!$A$4:$A$103,MATCH($A154,Scherpenzeel!$C$4:$C$103,0)),""))</f>
        <v/>
      </c>
      <c r="I154" s="15">
        <f>IF($A154="",0,IFERROR(INDEX(Scherpenzeel!$I$4:$I$103,MATCH($A154,Scherpenzeel!$C$4:$C$103,0)),0))</f>
        <v>0</v>
      </c>
      <c r="J154" s="24" t="str">
        <f>IF($A154="","",IFERROR(INDEX('4'!$A$4:$A$103,MATCH($A154,'4'!$C$4:$C$103,0)),""))</f>
        <v/>
      </c>
      <c r="K154" s="15">
        <f>IF($A154="",0,IFERROR(INDEX('4'!$I$4:$I$103,MATCH($A154,'4'!$C$4:$C$103,0)),0))</f>
        <v>0</v>
      </c>
      <c r="L154" s="24" t="str">
        <f>IF($A154="","",IFERROR(INDEX('5'!$A$4:$A$103,MATCH($A154,'5'!$C$4:$C$103,0)),""))</f>
        <v/>
      </c>
      <c r="M154" s="15">
        <f>IF($A154="",0,IFERROR(INDEX('5'!$I$4:$I$103,MATCH($A154,'5'!$C$4:$C$103,0)),0))</f>
        <v>0</v>
      </c>
      <c r="N154" s="25" t="str">
        <f>IF($A154="","",E154+G154+I154+K154+M154)</f>
        <v/>
      </c>
      <c r="O154" s="26" t="str">
        <f>IF(OR($A154="",N154="",N154=0),"",RANK(N154,$N$4:$N$203,0))</f>
        <v/>
      </c>
      <c r="AA154">
        <f>Scherpenzeel!C89</f>
        <v>0</v>
      </c>
      <c r="AB154">
        <f>IF(AA154="",0,IF(COUNTIF($AA$1:AA154,AA154)=1,1,0))</f>
        <v>0</v>
      </c>
      <c r="AC154" t="str">
        <f>IF(AB154=1,COUNTIF($AB$1:AB154,1),"")</f>
        <v/>
      </c>
    </row>
    <row r="155" spans="1:29" x14ac:dyDescent="0.25">
      <c r="A155" s="13" t="str">
        <f>IFERROR(INDEX($AA$1:$AA$368,MATCH(152,$AC$1:$AC$368,0)),"")</f>
        <v/>
      </c>
      <c r="B155" s="13" t="str">
        <f>IF($A155="","",IF(IFERROR(INDEX(Barneveld!$E$4:$E$36,MATCH($A155,Barneveld!$C$4:$C$36,0)),"")&lt;&gt;"",IFERROR(INDEX(Barneveld!$E$4:$E$36,MATCH($A155,Barneveld!$C$4:$C$36,0)),""),IF(IFERROR(INDEX(Baarn!$F$4:$F$38,MATCH($A155,Baarn!$C$4:$C$38,0)),"")&lt;&gt;"",IFERROR(INDEX(Baarn!$F$4:$F$38,MATCH($A155,Baarn!$C$4:$C$38,0)),""),IF(IFERROR(INDEX(Scherpenzeel!$F$4:$F$103,MATCH($A155,Scherpenzeel!$C$4:$C$103,0)),"")&lt;&gt;"",IFERROR(INDEX(Scherpenzeel!$F$4:$F$103,MATCH($A155,Scherpenzeel!$C$4:$C$103,0)),""),IF(IFERROR(INDEX('4'!$F$4:$F$103,MATCH($A155,'4'!$C$4:$C$103,0)),"")&lt;&gt;"",IFERROR(INDEX('4'!$F$4:$F$103,MATCH($A155,'4'!$C$4:$C$103,0)),""),IFERROR(INDEX('5'!$F$4:$F$103,MATCH($A155,'5'!$C$4:$C$103,0)),""))))))</f>
        <v/>
      </c>
      <c r="C155" s="13" t="str">
        <f>IF($A155="","",IF(IFERROR(INDEX(Barneveld!$D$4:$D$36,MATCH($A155,Barneveld!$C$4:$C$36,0)),"")&lt;&gt;"",IFERROR(INDEX(Barneveld!$D$4:$D$36,MATCH($A155,Barneveld!$C$4:$C$36,0)),""),IF(IFERROR(INDEX(Baarn!$E$4:$E$38,MATCH($A155,Baarn!$C$4:$C$38,0)),"")&lt;&gt;"",IFERROR(INDEX(Baarn!$E$4:$E$38,MATCH($A155,Baarn!$C$4:$C$38,0)),""),IF(IFERROR(INDEX(Scherpenzeel!$E$4:$E$103,MATCH($A155,Scherpenzeel!$C$4:$C$103,0)),"")&lt;&gt;"",IFERROR(INDEX(Scherpenzeel!$E$4:$E$103,MATCH($A155,Scherpenzeel!$C$4:$C$103,0)),""),IF(IFERROR(INDEX('4'!$E$4:$E$103,MATCH($A155,'4'!$C$4:$C$103,0)),"")&lt;&gt;"",IFERROR(INDEX('4'!$E$4:$E$103,MATCH($A155,'4'!$C$4:$C$103,0)),""),IFERROR(INDEX('5'!$E$4:$E$103,MATCH($A155,'5'!$C$4:$C$103,0)),""))))))</f>
        <v/>
      </c>
      <c r="D155" s="24" t="str">
        <f>IF($A155="","",IFERROR(INDEX(Barneveld!$A$4:$A$36,MATCH($A155,Barneveld!$C$4:$C$36,0)),""))</f>
        <v/>
      </c>
      <c r="E155" s="15">
        <f>IF($A155="",0,IFERROR(INDEX(Barneveld!$H$4:$H$36,MATCH($A155,Barneveld!$C$4:$C$36,0)),0))</f>
        <v>0</v>
      </c>
      <c r="F155" s="24" t="str">
        <f>IF($A155="","",IFERROR(INDEX(Baarn!$A$4:$A$38,MATCH($A155,Baarn!$C$4:$C$38,0)),""))</f>
        <v/>
      </c>
      <c r="G155" s="15">
        <f>IF($A155="",0,IFERROR(INDEX(Baarn!$I$4:$I$38,MATCH($A155,Baarn!$C$4:$C$38,0)),0))</f>
        <v>0</v>
      </c>
      <c r="H155" s="24" t="str">
        <f>IF($A155="","",IFERROR(INDEX(Scherpenzeel!$A$4:$A$103,MATCH($A155,Scherpenzeel!$C$4:$C$103,0)),""))</f>
        <v/>
      </c>
      <c r="I155" s="15">
        <f>IF($A155="",0,IFERROR(INDEX(Scherpenzeel!$I$4:$I$103,MATCH($A155,Scherpenzeel!$C$4:$C$103,0)),0))</f>
        <v>0</v>
      </c>
      <c r="J155" s="24" t="str">
        <f>IF($A155="","",IFERROR(INDEX('4'!$A$4:$A$103,MATCH($A155,'4'!$C$4:$C$103,0)),""))</f>
        <v/>
      </c>
      <c r="K155" s="15">
        <f>IF($A155="",0,IFERROR(INDEX('4'!$I$4:$I$103,MATCH($A155,'4'!$C$4:$C$103,0)),0))</f>
        <v>0</v>
      </c>
      <c r="L155" s="24" t="str">
        <f>IF($A155="","",IFERROR(INDEX('5'!$A$4:$A$103,MATCH($A155,'5'!$C$4:$C$103,0)),""))</f>
        <v/>
      </c>
      <c r="M155" s="15">
        <f>IF($A155="",0,IFERROR(INDEX('5'!$I$4:$I$103,MATCH($A155,'5'!$C$4:$C$103,0)),0))</f>
        <v>0</v>
      </c>
      <c r="N155" s="25" t="str">
        <f>IF($A155="","",E155+G155+I155+K155+M155)</f>
        <v/>
      </c>
      <c r="O155" s="26" t="str">
        <f>IF(OR($A155="",N155="",N155=0),"",RANK(N155,$N$4:$N$203,0))</f>
        <v/>
      </c>
      <c r="AA155">
        <f>Scherpenzeel!C90</f>
        <v>0</v>
      </c>
      <c r="AB155">
        <f>IF(AA155="",0,IF(COUNTIF($AA$1:AA155,AA155)=1,1,0))</f>
        <v>0</v>
      </c>
      <c r="AC155" t="str">
        <f>IF(AB155=1,COUNTIF($AB$1:AB155,1),"")</f>
        <v/>
      </c>
    </row>
    <row r="156" spans="1:29" x14ac:dyDescent="0.25">
      <c r="A156" s="13" t="str">
        <f>IFERROR(INDEX($AA$1:$AA$368,MATCH(153,$AC$1:$AC$368,0)),"")</f>
        <v/>
      </c>
      <c r="B156" s="13" t="str">
        <f>IF($A156="","",IF(IFERROR(INDEX(Barneveld!$E$4:$E$36,MATCH($A156,Barneveld!$C$4:$C$36,0)),"")&lt;&gt;"",IFERROR(INDEX(Barneveld!$E$4:$E$36,MATCH($A156,Barneveld!$C$4:$C$36,0)),""),IF(IFERROR(INDEX(Baarn!$F$4:$F$38,MATCH($A156,Baarn!$C$4:$C$38,0)),"")&lt;&gt;"",IFERROR(INDEX(Baarn!$F$4:$F$38,MATCH($A156,Baarn!$C$4:$C$38,0)),""),IF(IFERROR(INDEX(Scherpenzeel!$F$4:$F$103,MATCH($A156,Scherpenzeel!$C$4:$C$103,0)),"")&lt;&gt;"",IFERROR(INDEX(Scherpenzeel!$F$4:$F$103,MATCH($A156,Scherpenzeel!$C$4:$C$103,0)),""),IF(IFERROR(INDEX('4'!$F$4:$F$103,MATCH($A156,'4'!$C$4:$C$103,0)),"")&lt;&gt;"",IFERROR(INDEX('4'!$F$4:$F$103,MATCH($A156,'4'!$C$4:$C$103,0)),""),IFERROR(INDEX('5'!$F$4:$F$103,MATCH($A156,'5'!$C$4:$C$103,0)),""))))))</f>
        <v/>
      </c>
      <c r="C156" s="13" t="str">
        <f>IF($A156="","",IF(IFERROR(INDEX(Barneveld!$D$4:$D$36,MATCH($A156,Barneveld!$C$4:$C$36,0)),"")&lt;&gt;"",IFERROR(INDEX(Barneveld!$D$4:$D$36,MATCH($A156,Barneveld!$C$4:$C$36,0)),""),IF(IFERROR(INDEX(Baarn!$E$4:$E$38,MATCH($A156,Baarn!$C$4:$C$38,0)),"")&lt;&gt;"",IFERROR(INDEX(Baarn!$E$4:$E$38,MATCH($A156,Baarn!$C$4:$C$38,0)),""),IF(IFERROR(INDEX(Scherpenzeel!$E$4:$E$103,MATCH($A156,Scherpenzeel!$C$4:$C$103,0)),"")&lt;&gt;"",IFERROR(INDEX(Scherpenzeel!$E$4:$E$103,MATCH($A156,Scherpenzeel!$C$4:$C$103,0)),""),IF(IFERROR(INDEX('4'!$E$4:$E$103,MATCH($A156,'4'!$C$4:$C$103,0)),"")&lt;&gt;"",IFERROR(INDEX('4'!$E$4:$E$103,MATCH($A156,'4'!$C$4:$C$103,0)),""),IFERROR(INDEX('5'!$E$4:$E$103,MATCH($A156,'5'!$C$4:$C$103,0)),""))))))</f>
        <v/>
      </c>
      <c r="D156" s="24" t="str">
        <f>IF($A156="","",IFERROR(INDEX(Barneveld!$A$4:$A$36,MATCH($A156,Barneveld!$C$4:$C$36,0)),""))</f>
        <v/>
      </c>
      <c r="E156" s="15">
        <f>IF($A156="",0,IFERROR(INDEX(Barneveld!$H$4:$H$36,MATCH($A156,Barneveld!$C$4:$C$36,0)),0))</f>
        <v>0</v>
      </c>
      <c r="F156" s="24" t="str">
        <f>IF($A156="","",IFERROR(INDEX(Baarn!$A$4:$A$38,MATCH($A156,Baarn!$C$4:$C$38,0)),""))</f>
        <v/>
      </c>
      <c r="G156" s="15">
        <f>IF($A156="",0,IFERROR(INDEX(Baarn!$I$4:$I$38,MATCH($A156,Baarn!$C$4:$C$38,0)),0))</f>
        <v>0</v>
      </c>
      <c r="H156" s="24" t="str">
        <f>IF($A156="","",IFERROR(INDEX(Scherpenzeel!$A$4:$A$103,MATCH($A156,Scherpenzeel!$C$4:$C$103,0)),""))</f>
        <v/>
      </c>
      <c r="I156" s="15">
        <f>IF($A156="",0,IFERROR(INDEX(Scherpenzeel!$I$4:$I$103,MATCH($A156,Scherpenzeel!$C$4:$C$103,0)),0))</f>
        <v>0</v>
      </c>
      <c r="J156" s="24" t="str">
        <f>IF($A156="","",IFERROR(INDEX('4'!$A$4:$A$103,MATCH($A156,'4'!$C$4:$C$103,0)),""))</f>
        <v/>
      </c>
      <c r="K156" s="15">
        <f>IF($A156="",0,IFERROR(INDEX('4'!$I$4:$I$103,MATCH($A156,'4'!$C$4:$C$103,0)),0))</f>
        <v>0</v>
      </c>
      <c r="L156" s="24" t="str">
        <f>IF($A156="","",IFERROR(INDEX('5'!$A$4:$A$103,MATCH($A156,'5'!$C$4:$C$103,0)),""))</f>
        <v/>
      </c>
      <c r="M156" s="15">
        <f>IF($A156="",0,IFERROR(INDEX('5'!$I$4:$I$103,MATCH($A156,'5'!$C$4:$C$103,0)),0))</f>
        <v>0</v>
      </c>
      <c r="N156" s="25" t="str">
        <f>IF($A156="","",E156+G156+I156+K156+M156)</f>
        <v/>
      </c>
      <c r="O156" s="26" t="str">
        <f>IF(OR($A156="",N156="",N156=0),"",RANK(N156,$N$4:$N$203,0))</f>
        <v/>
      </c>
      <c r="AA156">
        <f>Scherpenzeel!C91</f>
        <v>0</v>
      </c>
      <c r="AB156">
        <f>IF(AA156="",0,IF(COUNTIF($AA$1:AA156,AA156)=1,1,0))</f>
        <v>0</v>
      </c>
      <c r="AC156" t="str">
        <f>IF(AB156=1,COUNTIF($AB$1:AB156,1),"")</f>
        <v/>
      </c>
    </row>
    <row r="157" spans="1:29" x14ac:dyDescent="0.25">
      <c r="A157" s="13" t="str">
        <f>IFERROR(INDEX($AA$1:$AA$368,MATCH(154,$AC$1:$AC$368,0)),"")</f>
        <v/>
      </c>
      <c r="B157" s="13" t="str">
        <f>IF($A157="","",IF(IFERROR(INDEX(Barneveld!$E$4:$E$36,MATCH($A157,Barneveld!$C$4:$C$36,0)),"")&lt;&gt;"",IFERROR(INDEX(Barneveld!$E$4:$E$36,MATCH($A157,Barneveld!$C$4:$C$36,0)),""),IF(IFERROR(INDEX(Baarn!$F$4:$F$38,MATCH($A157,Baarn!$C$4:$C$38,0)),"")&lt;&gt;"",IFERROR(INDEX(Baarn!$F$4:$F$38,MATCH($A157,Baarn!$C$4:$C$38,0)),""),IF(IFERROR(INDEX(Scherpenzeel!$F$4:$F$103,MATCH($A157,Scherpenzeel!$C$4:$C$103,0)),"")&lt;&gt;"",IFERROR(INDEX(Scherpenzeel!$F$4:$F$103,MATCH($A157,Scherpenzeel!$C$4:$C$103,0)),""),IF(IFERROR(INDEX('4'!$F$4:$F$103,MATCH($A157,'4'!$C$4:$C$103,0)),"")&lt;&gt;"",IFERROR(INDEX('4'!$F$4:$F$103,MATCH($A157,'4'!$C$4:$C$103,0)),""),IFERROR(INDEX('5'!$F$4:$F$103,MATCH($A157,'5'!$C$4:$C$103,0)),""))))))</f>
        <v/>
      </c>
      <c r="C157" s="13" t="str">
        <f>IF($A157="","",IF(IFERROR(INDEX(Barneveld!$D$4:$D$36,MATCH($A157,Barneveld!$C$4:$C$36,0)),"")&lt;&gt;"",IFERROR(INDEX(Barneveld!$D$4:$D$36,MATCH($A157,Barneveld!$C$4:$C$36,0)),""),IF(IFERROR(INDEX(Baarn!$E$4:$E$38,MATCH($A157,Baarn!$C$4:$C$38,0)),"")&lt;&gt;"",IFERROR(INDEX(Baarn!$E$4:$E$38,MATCH($A157,Baarn!$C$4:$C$38,0)),""),IF(IFERROR(INDEX(Scherpenzeel!$E$4:$E$103,MATCH($A157,Scherpenzeel!$C$4:$C$103,0)),"")&lt;&gt;"",IFERROR(INDEX(Scherpenzeel!$E$4:$E$103,MATCH($A157,Scherpenzeel!$C$4:$C$103,0)),""),IF(IFERROR(INDEX('4'!$E$4:$E$103,MATCH($A157,'4'!$C$4:$C$103,0)),"")&lt;&gt;"",IFERROR(INDEX('4'!$E$4:$E$103,MATCH($A157,'4'!$C$4:$C$103,0)),""),IFERROR(INDEX('5'!$E$4:$E$103,MATCH($A157,'5'!$C$4:$C$103,0)),""))))))</f>
        <v/>
      </c>
      <c r="D157" s="24" t="str">
        <f>IF($A157="","",IFERROR(INDEX(Barneveld!$A$4:$A$36,MATCH($A157,Barneveld!$C$4:$C$36,0)),""))</f>
        <v/>
      </c>
      <c r="E157" s="15">
        <f>IF($A157="",0,IFERROR(INDEX(Barneveld!$H$4:$H$36,MATCH($A157,Barneveld!$C$4:$C$36,0)),0))</f>
        <v>0</v>
      </c>
      <c r="F157" s="24" t="str">
        <f>IF($A157="","",IFERROR(INDEX(Baarn!$A$4:$A$38,MATCH($A157,Baarn!$C$4:$C$38,0)),""))</f>
        <v/>
      </c>
      <c r="G157" s="15">
        <f>IF($A157="",0,IFERROR(INDEX(Baarn!$I$4:$I$38,MATCH($A157,Baarn!$C$4:$C$38,0)),0))</f>
        <v>0</v>
      </c>
      <c r="H157" s="24" t="str">
        <f>IF($A157="","",IFERROR(INDEX(Scherpenzeel!$A$4:$A$103,MATCH($A157,Scherpenzeel!$C$4:$C$103,0)),""))</f>
        <v/>
      </c>
      <c r="I157" s="15">
        <f>IF($A157="",0,IFERROR(INDEX(Scherpenzeel!$I$4:$I$103,MATCH($A157,Scherpenzeel!$C$4:$C$103,0)),0))</f>
        <v>0</v>
      </c>
      <c r="J157" s="24" t="str">
        <f>IF($A157="","",IFERROR(INDEX('4'!$A$4:$A$103,MATCH($A157,'4'!$C$4:$C$103,0)),""))</f>
        <v/>
      </c>
      <c r="K157" s="15">
        <f>IF($A157="",0,IFERROR(INDEX('4'!$I$4:$I$103,MATCH($A157,'4'!$C$4:$C$103,0)),0))</f>
        <v>0</v>
      </c>
      <c r="L157" s="24" t="str">
        <f>IF($A157="","",IFERROR(INDEX('5'!$A$4:$A$103,MATCH($A157,'5'!$C$4:$C$103,0)),""))</f>
        <v/>
      </c>
      <c r="M157" s="15">
        <f>IF($A157="",0,IFERROR(INDEX('5'!$I$4:$I$103,MATCH($A157,'5'!$C$4:$C$103,0)),0))</f>
        <v>0</v>
      </c>
      <c r="N157" s="25" t="str">
        <f>IF($A157="","",E157+G157+I157+K157+M157)</f>
        <v/>
      </c>
      <c r="O157" s="26" t="str">
        <f>IF(OR($A157="",N157="",N157=0),"",RANK(N157,$N$4:$N$203,0))</f>
        <v/>
      </c>
      <c r="AA157">
        <f>Scherpenzeel!C92</f>
        <v>0</v>
      </c>
      <c r="AB157">
        <f>IF(AA157="",0,IF(COUNTIF($AA$1:AA157,AA157)=1,1,0))</f>
        <v>0</v>
      </c>
      <c r="AC157" t="str">
        <f>IF(AB157=1,COUNTIF($AB$1:AB157,1),"")</f>
        <v/>
      </c>
    </row>
    <row r="158" spans="1:29" x14ac:dyDescent="0.25">
      <c r="A158" s="13" t="str">
        <f>IFERROR(INDEX($AA$1:$AA$368,MATCH(155,$AC$1:$AC$368,0)),"")</f>
        <v/>
      </c>
      <c r="B158" s="13" t="str">
        <f>IF($A158="","",IF(IFERROR(INDEX(Barneveld!$E$4:$E$36,MATCH($A158,Barneveld!$C$4:$C$36,0)),"")&lt;&gt;"",IFERROR(INDEX(Barneveld!$E$4:$E$36,MATCH($A158,Barneveld!$C$4:$C$36,0)),""),IF(IFERROR(INDEX(Baarn!$F$4:$F$38,MATCH($A158,Baarn!$C$4:$C$38,0)),"")&lt;&gt;"",IFERROR(INDEX(Baarn!$F$4:$F$38,MATCH($A158,Baarn!$C$4:$C$38,0)),""),IF(IFERROR(INDEX(Scherpenzeel!$F$4:$F$103,MATCH($A158,Scherpenzeel!$C$4:$C$103,0)),"")&lt;&gt;"",IFERROR(INDEX(Scherpenzeel!$F$4:$F$103,MATCH($A158,Scherpenzeel!$C$4:$C$103,0)),""),IF(IFERROR(INDEX('4'!$F$4:$F$103,MATCH($A158,'4'!$C$4:$C$103,0)),"")&lt;&gt;"",IFERROR(INDEX('4'!$F$4:$F$103,MATCH($A158,'4'!$C$4:$C$103,0)),""),IFERROR(INDEX('5'!$F$4:$F$103,MATCH($A158,'5'!$C$4:$C$103,0)),""))))))</f>
        <v/>
      </c>
      <c r="C158" s="13" t="str">
        <f>IF($A158="","",IF(IFERROR(INDEX(Barneveld!$D$4:$D$36,MATCH($A158,Barneveld!$C$4:$C$36,0)),"")&lt;&gt;"",IFERROR(INDEX(Barneveld!$D$4:$D$36,MATCH($A158,Barneveld!$C$4:$C$36,0)),""),IF(IFERROR(INDEX(Baarn!$E$4:$E$38,MATCH($A158,Baarn!$C$4:$C$38,0)),"")&lt;&gt;"",IFERROR(INDEX(Baarn!$E$4:$E$38,MATCH($A158,Baarn!$C$4:$C$38,0)),""),IF(IFERROR(INDEX(Scherpenzeel!$E$4:$E$103,MATCH($A158,Scherpenzeel!$C$4:$C$103,0)),"")&lt;&gt;"",IFERROR(INDEX(Scherpenzeel!$E$4:$E$103,MATCH($A158,Scherpenzeel!$C$4:$C$103,0)),""),IF(IFERROR(INDEX('4'!$E$4:$E$103,MATCH($A158,'4'!$C$4:$C$103,0)),"")&lt;&gt;"",IFERROR(INDEX('4'!$E$4:$E$103,MATCH($A158,'4'!$C$4:$C$103,0)),""),IFERROR(INDEX('5'!$E$4:$E$103,MATCH($A158,'5'!$C$4:$C$103,0)),""))))))</f>
        <v/>
      </c>
      <c r="D158" s="24" t="str">
        <f>IF($A158="","",IFERROR(INDEX(Barneveld!$A$4:$A$36,MATCH($A158,Barneveld!$C$4:$C$36,0)),""))</f>
        <v/>
      </c>
      <c r="E158" s="15">
        <f>IF($A158="",0,IFERROR(INDEX(Barneveld!$H$4:$H$36,MATCH($A158,Barneveld!$C$4:$C$36,0)),0))</f>
        <v>0</v>
      </c>
      <c r="F158" s="24" t="str">
        <f>IF($A158="","",IFERROR(INDEX(Baarn!$A$4:$A$38,MATCH($A158,Baarn!$C$4:$C$38,0)),""))</f>
        <v/>
      </c>
      <c r="G158" s="15">
        <f>IF($A158="",0,IFERROR(INDEX(Baarn!$I$4:$I$38,MATCH($A158,Baarn!$C$4:$C$38,0)),0))</f>
        <v>0</v>
      </c>
      <c r="H158" s="24" t="str">
        <f>IF($A158="","",IFERROR(INDEX(Scherpenzeel!$A$4:$A$103,MATCH($A158,Scherpenzeel!$C$4:$C$103,0)),""))</f>
        <v/>
      </c>
      <c r="I158" s="15">
        <f>IF($A158="",0,IFERROR(INDEX(Scherpenzeel!$I$4:$I$103,MATCH($A158,Scherpenzeel!$C$4:$C$103,0)),0))</f>
        <v>0</v>
      </c>
      <c r="J158" s="24" t="str">
        <f>IF($A158="","",IFERROR(INDEX('4'!$A$4:$A$103,MATCH($A158,'4'!$C$4:$C$103,0)),""))</f>
        <v/>
      </c>
      <c r="K158" s="15">
        <f>IF($A158="",0,IFERROR(INDEX('4'!$I$4:$I$103,MATCH($A158,'4'!$C$4:$C$103,0)),0))</f>
        <v>0</v>
      </c>
      <c r="L158" s="24" t="str">
        <f>IF($A158="","",IFERROR(INDEX('5'!$A$4:$A$103,MATCH($A158,'5'!$C$4:$C$103,0)),""))</f>
        <v/>
      </c>
      <c r="M158" s="15">
        <f>IF($A158="",0,IFERROR(INDEX('5'!$I$4:$I$103,MATCH($A158,'5'!$C$4:$C$103,0)),0))</f>
        <v>0</v>
      </c>
      <c r="N158" s="25" t="str">
        <f>IF($A158="","",E158+G158+I158+K158+M158)</f>
        <v/>
      </c>
      <c r="O158" s="26" t="str">
        <f>IF(OR($A158="",N158="",N158=0),"",RANK(N158,$N$4:$N$203,0))</f>
        <v/>
      </c>
      <c r="AA158">
        <f>Scherpenzeel!C93</f>
        <v>0</v>
      </c>
      <c r="AB158">
        <f>IF(AA158="",0,IF(COUNTIF($AA$1:AA158,AA158)=1,1,0))</f>
        <v>0</v>
      </c>
      <c r="AC158" t="str">
        <f>IF(AB158=1,COUNTIF($AB$1:AB158,1),"")</f>
        <v/>
      </c>
    </row>
    <row r="159" spans="1:29" x14ac:dyDescent="0.25">
      <c r="A159" s="13" t="str">
        <f>IFERROR(INDEX($AA$1:$AA$368,MATCH(156,$AC$1:$AC$368,0)),"")</f>
        <v/>
      </c>
      <c r="B159" s="13" t="str">
        <f>IF($A159="","",IF(IFERROR(INDEX(Barneveld!$E$4:$E$36,MATCH($A159,Barneveld!$C$4:$C$36,0)),"")&lt;&gt;"",IFERROR(INDEX(Barneveld!$E$4:$E$36,MATCH($A159,Barneveld!$C$4:$C$36,0)),""),IF(IFERROR(INDEX(Baarn!$F$4:$F$38,MATCH($A159,Baarn!$C$4:$C$38,0)),"")&lt;&gt;"",IFERROR(INDEX(Baarn!$F$4:$F$38,MATCH($A159,Baarn!$C$4:$C$38,0)),""),IF(IFERROR(INDEX(Scherpenzeel!$F$4:$F$103,MATCH($A159,Scherpenzeel!$C$4:$C$103,0)),"")&lt;&gt;"",IFERROR(INDEX(Scherpenzeel!$F$4:$F$103,MATCH($A159,Scherpenzeel!$C$4:$C$103,0)),""),IF(IFERROR(INDEX('4'!$F$4:$F$103,MATCH($A159,'4'!$C$4:$C$103,0)),"")&lt;&gt;"",IFERROR(INDEX('4'!$F$4:$F$103,MATCH($A159,'4'!$C$4:$C$103,0)),""),IFERROR(INDEX('5'!$F$4:$F$103,MATCH($A159,'5'!$C$4:$C$103,0)),""))))))</f>
        <v/>
      </c>
      <c r="C159" s="13" t="str">
        <f>IF($A159="","",IF(IFERROR(INDEX(Barneveld!$D$4:$D$36,MATCH($A159,Barneveld!$C$4:$C$36,0)),"")&lt;&gt;"",IFERROR(INDEX(Barneveld!$D$4:$D$36,MATCH($A159,Barneveld!$C$4:$C$36,0)),""),IF(IFERROR(INDEX(Baarn!$E$4:$E$38,MATCH($A159,Baarn!$C$4:$C$38,0)),"")&lt;&gt;"",IFERROR(INDEX(Baarn!$E$4:$E$38,MATCH($A159,Baarn!$C$4:$C$38,0)),""),IF(IFERROR(INDEX(Scherpenzeel!$E$4:$E$103,MATCH($A159,Scherpenzeel!$C$4:$C$103,0)),"")&lt;&gt;"",IFERROR(INDEX(Scherpenzeel!$E$4:$E$103,MATCH($A159,Scherpenzeel!$C$4:$C$103,0)),""),IF(IFERROR(INDEX('4'!$E$4:$E$103,MATCH($A159,'4'!$C$4:$C$103,0)),"")&lt;&gt;"",IFERROR(INDEX('4'!$E$4:$E$103,MATCH($A159,'4'!$C$4:$C$103,0)),""),IFERROR(INDEX('5'!$E$4:$E$103,MATCH($A159,'5'!$C$4:$C$103,0)),""))))))</f>
        <v/>
      </c>
      <c r="D159" s="24" t="str">
        <f>IF($A159="","",IFERROR(INDEX(Barneveld!$A$4:$A$36,MATCH($A159,Barneveld!$C$4:$C$36,0)),""))</f>
        <v/>
      </c>
      <c r="E159" s="15">
        <f>IF($A159="",0,IFERROR(INDEX(Barneveld!$H$4:$H$36,MATCH($A159,Barneveld!$C$4:$C$36,0)),0))</f>
        <v>0</v>
      </c>
      <c r="F159" s="24" t="str">
        <f>IF($A159="","",IFERROR(INDEX(Baarn!$A$4:$A$38,MATCH($A159,Baarn!$C$4:$C$38,0)),""))</f>
        <v/>
      </c>
      <c r="G159" s="15">
        <f>IF($A159="",0,IFERROR(INDEX(Baarn!$I$4:$I$38,MATCH($A159,Baarn!$C$4:$C$38,0)),0))</f>
        <v>0</v>
      </c>
      <c r="H159" s="24" t="str">
        <f>IF($A159="","",IFERROR(INDEX(Scherpenzeel!$A$4:$A$103,MATCH($A159,Scherpenzeel!$C$4:$C$103,0)),""))</f>
        <v/>
      </c>
      <c r="I159" s="15">
        <f>IF($A159="",0,IFERROR(INDEX(Scherpenzeel!$I$4:$I$103,MATCH($A159,Scherpenzeel!$C$4:$C$103,0)),0))</f>
        <v>0</v>
      </c>
      <c r="J159" s="24" t="str">
        <f>IF($A159="","",IFERROR(INDEX('4'!$A$4:$A$103,MATCH($A159,'4'!$C$4:$C$103,0)),""))</f>
        <v/>
      </c>
      <c r="K159" s="15">
        <f>IF($A159="",0,IFERROR(INDEX('4'!$I$4:$I$103,MATCH($A159,'4'!$C$4:$C$103,0)),0))</f>
        <v>0</v>
      </c>
      <c r="L159" s="24" t="str">
        <f>IF($A159="","",IFERROR(INDEX('5'!$A$4:$A$103,MATCH($A159,'5'!$C$4:$C$103,0)),""))</f>
        <v/>
      </c>
      <c r="M159" s="15">
        <f>IF($A159="",0,IFERROR(INDEX('5'!$I$4:$I$103,MATCH($A159,'5'!$C$4:$C$103,0)),0))</f>
        <v>0</v>
      </c>
      <c r="N159" s="25" t="str">
        <f>IF($A159="","",E159+G159+I159+K159+M159)</f>
        <v/>
      </c>
      <c r="O159" s="26" t="str">
        <f>IF(OR($A159="",N159="",N159=0),"",RANK(N159,$N$4:$N$203,0))</f>
        <v/>
      </c>
      <c r="AA159">
        <f>Scherpenzeel!C94</f>
        <v>0</v>
      </c>
      <c r="AB159">
        <f>IF(AA159="",0,IF(COUNTIF($AA$1:AA159,AA159)=1,1,0))</f>
        <v>0</v>
      </c>
      <c r="AC159" t="str">
        <f>IF(AB159=1,COUNTIF($AB$1:AB159,1),"")</f>
        <v/>
      </c>
    </row>
    <row r="160" spans="1:29" x14ac:dyDescent="0.25">
      <c r="A160" s="13" t="str">
        <f>IFERROR(INDEX($AA$1:$AA$368,MATCH(157,$AC$1:$AC$368,0)),"")</f>
        <v/>
      </c>
      <c r="B160" s="13" t="str">
        <f>IF($A160="","",IF(IFERROR(INDEX(Barneveld!$E$4:$E$36,MATCH($A160,Barneveld!$C$4:$C$36,0)),"")&lt;&gt;"",IFERROR(INDEX(Barneveld!$E$4:$E$36,MATCH($A160,Barneveld!$C$4:$C$36,0)),""),IF(IFERROR(INDEX(Baarn!$F$4:$F$38,MATCH($A160,Baarn!$C$4:$C$38,0)),"")&lt;&gt;"",IFERROR(INDEX(Baarn!$F$4:$F$38,MATCH($A160,Baarn!$C$4:$C$38,0)),""),IF(IFERROR(INDEX(Scherpenzeel!$F$4:$F$103,MATCH($A160,Scherpenzeel!$C$4:$C$103,0)),"")&lt;&gt;"",IFERROR(INDEX(Scherpenzeel!$F$4:$F$103,MATCH($A160,Scherpenzeel!$C$4:$C$103,0)),""),IF(IFERROR(INDEX('4'!$F$4:$F$103,MATCH($A160,'4'!$C$4:$C$103,0)),"")&lt;&gt;"",IFERROR(INDEX('4'!$F$4:$F$103,MATCH($A160,'4'!$C$4:$C$103,0)),""),IFERROR(INDEX('5'!$F$4:$F$103,MATCH($A160,'5'!$C$4:$C$103,0)),""))))))</f>
        <v/>
      </c>
      <c r="C160" s="13" t="str">
        <f>IF($A160="","",IF(IFERROR(INDEX(Barneveld!$D$4:$D$36,MATCH($A160,Barneveld!$C$4:$C$36,0)),"")&lt;&gt;"",IFERROR(INDEX(Barneveld!$D$4:$D$36,MATCH($A160,Barneveld!$C$4:$C$36,0)),""),IF(IFERROR(INDEX(Baarn!$E$4:$E$38,MATCH($A160,Baarn!$C$4:$C$38,0)),"")&lt;&gt;"",IFERROR(INDEX(Baarn!$E$4:$E$38,MATCH($A160,Baarn!$C$4:$C$38,0)),""),IF(IFERROR(INDEX(Scherpenzeel!$E$4:$E$103,MATCH($A160,Scherpenzeel!$C$4:$C$103,0)),"")&lt;&gt;"",IFERROR(INDEX(Scherpenzeel!$E$4:$E$103,MATCH($A160,Scherpenzeel!$C$4:$C$103,0)),""),IF(IFERROR(INDEX('4'!$E$4:$E$103,MATCH($A160,'4'!$C$4:$C$103,0)),"")&lt;&gt;"",IFERROR(INDEX('4'!$E$4:$E$103,MATCH($A160,'4'!$C$4:$C$103,0)),""),IFERROR(INDEX('5'!$E$4:$E$103,MATCH($A160,'5'!$C$4:$C$103,0)),""))))))</f>
        <v/>
      </c>
      <c r="D160" s="24" t="str">
        <f>IF($A160="","",IFERROR(INDEX(Barneveld!$A$4:$A$36,MATCH($A160,Barneveld!$C$4:$C$36,0)),""))</f>
        <v/>
      </c>
      <c r="E160" s="15">
        <f>IF($A160="",0,IFERROR(INDEX(Barneveld!$H$4:$H$36,MATCH($A160,Barneveld!$C$4:$C$36,0)),0))</f>
        <v>0</v>
      </c>
      <c r="F160" s="24" t="str">
        <f>IF($A160="","",IFERROR(INDEX(Baarn!$A$4:$A$38,MATCH($A160,Baarn!$C$4:$C$38,0)),""))</f>
        <v/>
      </c>
      <c r="G160" s="15">
        <f>IF($A160="",0,IFERROR(INDEX(Baarn!$I$4:$I$38,MATCH($A160,Baarn!$C$4:$C$38,0)),0))</f>
        <v>0</v>
      </c>
      <c r="H160" s="24" t="str">
        <f>IF($A160="","",IFERROR(INDEX(Scherpenzeel!$A$4:$A$103,MATCH($A160,Scherpenzeel!$C$4:$C$103,0)),""))</f>
        <v/>
      </c>
      <c r="I160" s="15">
        <f>IF($A160="",0,IFERROR(INDEX(Scherpenzeel!$I$4:$I$103,MATCH($A160,Scherpenzeel!$C$4:$C$103,0)),0))</f>
        <v>0</v>
      </c>
      <c r="J160" s="24" t="str">
        <f>IF($A160="","",IFERROR(INDEX('4'!$A$4:$A$103,MATCH($A160,'4'!$C$4:$C$103,0)),""))</f>
        <v/>
      </c>
      <c r="K160" s="15">
        <f>IF($A160="",0,IFERROR(INDEX('4'!$I$4:$I$103,MATCH($A160,'4'!$C$4:$C$103,0)),0))</f>
        <v>0</v>
      </c>
      <c r="L160" s="24" t="str">
        <f>IF($A160="","",IFERROR(INDEX('5'!$A$4:$A$103,MATCH($A160,'5'!$C$4:$C$103,0)),""))</f>
        <v/>
      </c>
      <c r="M160" s="15">
        <f>IF($A160="",0,IFERROR(INDEX('5'!$I$4:$I$103,MATCH($A160,'5'!$C$4:$C$103,0)),0))</f>
        <v>0</v>
      </c>
      <c r="N160" s="25" t="str">
        <f>IF($A160="","",E160+G160+I160+K160+M160)</f>
        <v/>
      </c>
      <c r="O160" s="26" t="str">
        <f>IF(OR($A160="",N160="",N160=0),"",RANK(N160,$N$4:$N$203,0))</f>
        <v/>
      </c>
      <c r="AA160">
        <f>Scherpenzeel!C95</f>
        <v>0</v>
      </c>
      <c r="AB160">
        <f>IF(AA160="",0,IF(COUNTIF($AA$1:AA160,AA160)=1,1,0))</f>
        <v>0</v>
      </c>
      <c r="AC160" t="str">
        <f>IF(AB160=1,COUNTIF($AB$1:AB160,1),"")</f>
        <v/>
      </c>
    </row>
    <row r="161" spans="1:29" x14ac:dyDescent="0.25">
      <c r="A161" s="13" t="str">
        <f>IFERROR(INDEX($AA$1:$AA$368,MATCH(158,$AC$1:$AC$368,0)),"")</f>
        <v/>
      </c>
      <c r="B161" s="13" t="str">
        <f>IF($A161="","",IF(IFERROR(INDEX(Barneveld!$E$4:$E$36,MATCH($A161,Barneveld!$C$4:$C$36,0)),"")&lt;&gt;"",IFERROR(INDEX(Barneveld!$E$4:$E$36,MATCH($A161,Barneveld!$C$4:$C$36,0)),""),IF(IFERROR(INDEX(Baarn!$F$4:$F$38,MATCH($A161,Baarn!$C$4:$C$38,0)),"")&lt;&gt;"",IFERROR(INDEX(Baarn!$F$4:$F$38,MATCH($A161,Baarn!$C$4:$C$38,0)),""),IF(IFERROR(INDEX(Scherpenzeel!$F$4:$F$103,MATCH($A161,Scherpenzeel!$C$4:$C$103,0)),"")&lt;&gt;"",IFERROR(INDEX(Scherpenzeel!$F$4:$F$103,MATCH($A161,Scherpenzeel!$C$4:$C$103,0)),""),IF(IFERROR(INDEX('4'!$F$4:$F$103,MATCH($A161,'4'!$C$4:$C$103,0)),"")&lt;&gt;"",IFERROR(INDEX('4'!$F$4:$F$103,MATCH($A161,'4'!$C$4:$C$103,0)),""),IFERROR(INDEX('5'!$F$4:$F$103,MATCH($A161,'5'!$C$4:$C$103,0)),""))))))</f>
        <v/>
      </c>
      <c r="C161" s="13" t="str">
        <f>IF($A161="","",IF(IFERROR(INDEX(Barneveld!$D$4:$D$36,MATCH($A161,Barneveld!$C$4:$C$36,0)),"")&lt;&gt;"",IFERROR(INDEX(Barneveld!$D$4:$D$36,MATCH($A161,Barneveld!$C$4:$C$36,0)),""),IF(IFERROR(INDEX(Baarn!$E$4:$E$38,MATCH($A161,Baarn!$C$4:$C$38,0)),"")&lt;&gt;"",IFERROR(INDEX(Baarn!$E$4:$E$38,MATCH($A161,Baarn!$C$4:$C$38,0)),""),IF(IFERROR(INDEX(Scherpenzeel!$E$4:$E$103,MATCH($A161,Scherpenzeel!$C$4:$C$103,0)),"")&lt;&gt;"",IFERROR(INDEX(Scherpenzeel!$E$4:$E$103,MATCH($A161,Scherpenzeel!$C$4:$C$103,0)),""),IF(IFERROR(INDEX('4'!$E$4:$E$103,MATCH($A161,'4'!$C$4:$C$103,0)),"")&lt;&gt;"",IFERROR(INDEX('4'!$E$4:$E$103,MATCH($A161,'4'!$C$4:$C$103,0)),""),IFERROR(INDEX('5'!$E$4:$E$103,MATCH($A161,'5'!$C$4:$C$103,0)),""))))))</f>
        <v/>
      </c>
      <c r="D161" s="24" t="str">
        <f>IF($A161="","",IFERROR(INDEX(Barneveld!$A$4:$A$36,MATCH($A161,Barneveld!$C$4:$C$36,0)),""))</f>
        <v/>
      </c>
      <c r="E161" s="15">
        <f>IF($A161="",0,IFERROR(INDEX(Barneveld!$H$4:$H$36,MATCH($A161,Barneveld!$C$4:$C$36,0)),0))</f>
        <v>0</v>
      </c>
      <c r="F161" s="24" t="str">
        <f>IF($A161="","",IFERROR(INDEX(Baarn!$A$4:$A$38,MATCH($A161,Baarn!$C$4:$C$38,0)),""))</f>
        <v/>
      </c>
      <c r="G161" s="15">
        <f>IF($A161="",0,IFERROR(INDEX(Baarn!$I$4:$I$38,MATCH($A161,Baarn!$C$4:$C$38,0)),0))</f>
        <v>0</v>
      </c>
      <c r="H161" s="24" t="str">
        <f>IF($A161="","",IFERROR(INDEX(Scherpenzeel!$A$4:$A$103,MATCH($A161,Scherpenzeel!$C$4:$C$103,0)),""))</f>
        <v/>
      </c>
      <c r="I161" s="15">
        <f>IF($A161="",0,IFERROR(INDEX(Scherpenzeel!$I$4:$I$103,MATCH($A161,Scherpenzeel!$C$4:$C$103,0)),0))</f>
        <v>0</v>
      </c>
      <c r="J161" s="24" t="str">
        <f>IF($A161="","",IFERROR(INDEX('4'!$A$4:$A$103,MATCH($A161,'4'!$C$4:$C$103,0)),""))</f>
        <v/>
      </c>
      <c r="K161" s="15">
        <f>IF($A161="",0,IFERROR(INDEX('4'!$I$4:$I$103,MATCH($A161,'4'!$C$4:$C$103,0)),0))</f>
        <v>0</v>
      </c>
      <c r="L161" s="24" t="str">
        <f>IF($A161="","",IFERROR(INDEX('5'!$A$4:$A$103,MATCH($A161,'5'!$C$4:$C$103,0)),""))</f>
        <v/>
      </c>
      <c r="M161" s="15">
        <f>IF($A161="",0,IFERROR(INDEX('5'!$I$4:$I$103,MATCH($A161,'5'!$C$4:$C$103,0)),0))</f>
        <v>0</v>
      </c>
      <c r="N161" s="25" t="str">
        <f>IF($A161="","",E161+G161+I161+K161+M161)</f>
        <v/>
      </c>
      <c r="O161" s="26" t="str">
        <f>IF(OR($A161="",N161="",N161=0),"",RANK(N161,$N$4:$N$203,0))</f>
        <v/>
      </c>
      <c r="AA161">
        <f>Scherpenzeel!C96</f>
        <v>0</v>
      </c>
      <c r="AB161">
        <f>IF(AA161="",0,IF(COUNTIF($AA$1:AA161,AA161)=1,1,0))</f>
        <v>0</v>
      </c>
      <c r="AC161" t="str">
        <f>IF(AB161=1,COUNTIF($AB$1:AB161,1),"")</f>
        <v/>
      </c>
    </row>
    <row r="162" spans="1:29" x14ac:dyDescent="0.25">
      <c r="A162" s="13" t="str">
        <f>IFERROR(INDEX($AA$1:$AA$368,MATCH(159,$AC$1:$AC$368,0)),"")</f>
        <v/>
      </c>
      <c r="B162" s="13" t="str">
        <f>IF($A162="","",IF(IFERROR(INDEX(Barneveld!$E$4:$E$36,MATCH($A162,Barneveld!$C$4:$C$36,0)),"")&lt;&gt;"",IFERROR(INDEX(Barneveld!$E$4:$E$36,MATCH($A162,Barneveld!$C$4:$C$36,0)),""),IF(IFERROR(INDEX(Baarn!$F$4:$F$38,MATCH($A162,Baarn!$C$4:$C$38,0)),"")&lt;&gt;"",IFERROR(INDEX(Baarn!$F$4:$F$38,MATCH($A162,Baarn!$C$4:$C$38,0)),""),IF(IFERROR(INDEX(Scherpenzeel!$F$4:$F$103,MATCH($A162,Scherpenzeel!$C$4:$C$103,0)),"")&lt;&gt;"",IFERROR(INDEX(Scherpenzeel!$F$4:$F$103,MATCH($A162,Scherpenzeel!$C$4:$C$103,0)),""),IF(IFERROR(INDEX('4'!$F$4:$F$103,MATCH($A162,'4'!$C$4:$C$103,0)),"")&lt;&gt;"",IFERROR(INDEX('4'!$F$4:$F$103,MATCH($A162,'4'!$C$4:$C$103,0)),""),IFERROR(INDEX('5'!$F$4:$F$103,MATCH($A162,'5'!$C$4:$C$103,0)),""))))))</f>
        <v/>
      </c>
      <c r="C162" s="13" t="str">
        <f>IF($A162="","",IF(IFERROR(INDEX(Barneveld!$D$4:$D$36,MATCH($A162,Barneveld!$C$4:$C$36,0)),"")&lt;&gt;"",IFERROR(INDEX(Barneveld!$D$4:$D$36,MATCH($A162,Barneveld!$C$4:$C$36,0)),""),IF(IFERROR(INDEX(Baarn!$E$4:$E$38,MATCH($A162,Baarn!$C$4:$C$38,0)),"")&lt;&gt;"",IFERROR(INDEX(Baarn!$E$4:$E$38,MATCH($A162,Baarn!$C$4:$C$38,0)),""),IF(IFERROR(INDEX(Scherpenzeel!$E$4:$E$103,MATCH($A162,Scherpenzeel!$C$4:$C$103,0)),"")&lt;&gt;"",IFERROR(INDEX(Scherpenzeel!$E$4:$E$103,MATCH($A162,Scherpenzeel!$C$4:$C$103,0)),""),IF(IFERROR(INDEX('4'!$E$4:$E$103,MATCH($A162,'4'!$C$4:$C$103,0)),"")&lt;&gt;"",IFERROR(INDEX('4'!$E$4:$E$103,MATCH($A162,'4'!$C$4:$C$103,0)),""),IFERROR(INDEX('5'!$E$4:$E$103,MATCH($A162,'5'!$C$4:$C$103,0)),""))))))</f>
        <v/>
      </c>
      <c r="D162" s="24" t="str">
        <f>IF($A162="","",IFERROR(INDEX(Barneveld!$A$4:$A$36,MATCH($A162,Barneveld!$C$4:$C$36,0)),""))</f>
        <v/>
      </c>
      <c r="E162" s="15">
        <f>IF($A162="",0,IFERROR(INDEX(Barneveld!$H$4:$H$36,MATCH($A162,Barneveld!$C$4:$C$36,0)),0))</f>
        <v>0</v>
      </c>
      <c r="F162" s="24" t="str">
        <f>IF($A162="","",IFERROR(INDEX(Baarn!$A$4:$A$38,MATCH($A162,Baarn!$C$4:$C$38,0)),""))</f>
        <v/>
      </c>
      <c r="G162" s="15">
        <f>IF($A162="",0,IFERROR(INDEX(Baarn!$I$4:$I$38,MATCH($A162,Baarn!$C$4:$C$38,0)),0))</f>
        <v>0</v>
      </c>
      <c r="H162" s="24" t="str">
        <f>IF($A162="","",IFERROR(INDEX(Scherpenzeel!$A$4:$A$103,MATCH($A162,Scherpenzeel!$C$4:$C$103,0)),""))</f>
        <v/>
      </c>
      <c r="I162" s="15">
        <f>IF($A162="",0,IFERROR(INDEX(Scherpenzeel!$I$4:$I$103,MATCH($A162,Scherpenzeel!$C$4:$C$103,0)),0))</f>
        <v>0</v>
      </c>
      <c r="J162" s="24" t="str">
        <f>IF($A162="","",IFERROR(INDEX('4'!$A$4:$A$103,MATCH($A162,'4'!$C$4:$C$103,0)),""))</f>
        <v/>
      </c>
      <c r="K162" s="15">
        <f>IF($A162="",0,IFERROR(INDEX('4'!$I$4:$I$103,MATCH($A162,'4'!$C$4:$C$103,0)),0))</f>
        <v>0</v>
      </c>
      <c r="L162" s="24" t="str">
        <f>IF($A162="","",IFERROR(INDEX('5'!$A$4:$A$103,MATCH($A162,'5'!$C$4:$C$103,0)),""))</f>
        <v/>
      </c>
      <c r="M162" s="15">
        <f>IF($A162="",0,IFERROR(INDEX('5'!$I$4:$I$103,MATCH($A162,'5'!$C$4:$C$103,0)),0))</f>
        <v>0</v>
      </c>
      <c r="N162" s="25" t="str">
        <f>IF($A162="","",E162+G162+I162+K162+M162)</f>
        <v/>
      </c>
      <c r="O162" s="26" t="str">
        <f>IF(OR($A162="",N162="",N162=0),"",RANK(N162,$N$4:$N$203,0))</f>
        <v/>
      </c>
      <c r="AA162">
        <f>Scherpenzeel!C97</f>
        <v>0</v>
      </c>
      <c r="AB162">
        <f>IF(AA162="",0,IF(COUNTIF($AA$1:AA162,AA162)=1,1,0))</f>
        <v>0</v>
      </c>
      <c r="AC162" t="str">
        <f>IF(AB162=1,COUNTIF($AB$1:AB162,1),"")</f>
        <v/>
      </c>
    </row>
    <row r="163" spans="1:29" x14ac:dyDescent="0.25">
      <c r="A163" s="13" t="str">
        <f>IFERROR(INDEX($AA$1:$AA$368,MATCH(160,$AC$1:$AC$368,0)),"")</f>
        <v/>
      </c>
      <c r="B163" s="13" t="str">
        <f>IF($A163="","",IF(IFERROR(INDEX(Barneveld!$E$4:$E$36,MATCH($A163,Barneveld!$C$4:$C$36,0)),"")&lt;&gt;"",IFERROR(INDEX(Barneveld!$E$4:$E$36,MATCH($A163,Barneveld!$C$4:$C$36,0)),""),IF(IFERROR(INDEX(Baarn!$F$4:$F$38,MATCH($A163,Baarn!$C$4:$C$38,0)),"")&lt;&gt;"",IFERROR(INDEX(Baarn!$F$4:$F$38,MATCH($A163,Baarn!$C$4:$C$38,0)),""),IF(IFERROR(INDEX(Scherpenzeel!$F$4:$F$103,MATCH($A163,Scherpenzeel!$C$4:$C$103,0)),"")&lt;&gt;"",IFERROR(INDEX(Scherpenzeel!$F$4:$F$103,MATCH($A163,Scherpenzeel!$C$4:$C$103,0)),""),IF(IFERROR(INDEX('4'!$F$4:$F$103,MATCH($A163,'4'!$C$4:$C$103,0)),"")&lt;&gt;"",IFERROR(INDEX('4'!$F$4:$F$103,MATCH($A163,'4'!$C$4:$C$103,0)),""),IFERROR(INDEX('5'!$F$4:$F$103,MATCH($A163,'5'!$C$4:$C$103,0)),""))))))</f>
        <v/>
      </c>
      <c r="C163" s="13" t="str">
        <f>IF($A163="","",IF(IFERROR(INDEX(Barneveld!$D$4:$D$36,MATCH($A163,Barneveld!$C$4:$C$36,0)),"")&lt;&gt;"",IFERROR(INDEX(Barneveld!$D$4:$D$36,MATCH($A163,Barneveld!$C$4:$C$36,0)),""),IF(IFERROR(INDEX(Baarn!$E$4:$E$38,MATCH($A163,Baarn!$C$4:$C$38,0)),"")&lt;&gt;"",IFERROR(INDEX(Baarn!$E$4:$E$38,MATCH($A163,Baarn!$C$4:$C$38,0)),""),IF(IFERROR(INDEX(Scherpenzeel!$E$4:$E$103,MATCH($A163,Scherpenzeel!$C$4:$C$103,0)),"")&lt;&gt;"",IFERROR(INDEX(Scherpenzeel!$E$4:$E$103,MATCH($A163,Scherpenzeel!$C$4:$C$103,0)),""),IF(IFERROR(INDEX('4'!$E$4:$E$103,MATCH($A163,'4'!$C$4:$C$103,0)),"")&lt;&gt;"",IFERROR(INDEX('4'!$E$4:$E$103,MATCH($A163,'4'!$C$4:$C$103,0)),""),IFERROR(INDEX('5'!$E$4:$E$103,MATCH($A163,'5'!$C$4:$C$103,0)),""))))))</f>
        <v/>
      </c>
      <c r="D163" s="24" t="str">
        <f>IF($A163="","",IFERROR(INDEX(Barneveld!$A$4:$A$36,MATCH($A163,Barneveld!$C$4:$C$36,0)),""))</f>
        <v/>
      </c>
      <c r="E163" s="15">
        <f>IF($A163="",0,IFERROR(INDEX(Barneveld!$H$4:$H$36,MATCH($A163,Barneveld!$C$4:$C$36,0)),0))</f>
        <v>0</v>
      </c>
      <c r="F163" s="24" t="str">
        <f>IF($A163="","",IFERROR(INDEX(Baarn!$A$4:$A$38,MATCH($A163,Baarn!$C$4:$C$38,0)),""))</f>
        <v/>
      </c>
      <c r="G163" s="15">
        <f>IF($A163="",0,IFERROR(INDEX(Baarn!$I$4:$I$38,MATCH($A163,Baarn!$C$4:$C$38,0)),0))</f>
        <v>0</v>
      </c>
      <c r="H163" s="24" t="str">
        <f>IF($A163="","",IFERROR(INDEX(Scherpenzeel!$A$4:$A$103,MATCH($A163,Scherpenzeel!$C$4:$C$103,0)),""))</f>
        <v/>
      </c>
      <c r="I163" s="15">
        <f>IF($A163="",0,IFERROR(INDEX(Scherpenzeel!$I$4:$I$103,MATCH($A163,Scherpenzeel!$C$4:$C$103,0)),0))</f>
        <v>0</v>
      </c>
      <c r="J163" s="24" t="str">
        <f>IF($A163="","",IFERROR(INDEX('4'!$A$4:$A$103,MATCH($A163,'4'!$C$4:$C$103,0)),""))</f>
        <v/>
      </c>
      <c r="K163" s="15">
        <f>IF($A163="",0,IFERROR(INDEX('4'!$I$4:$I$103,MATCH($A163,'4'!$C$4:$C$103,0)),0))</f>
        <v>0</v>
      </c>
      <c r="L163" s="24" t="str">
        <f>IF($A163="","",IFERROR(INDEX('5'!$A$4:$A$103,MATCH($A163,'5'!$C$4:$C$103,0)),""))</f>
        <v/>
      </c>
      <c r="M163" s="15">
        <f>IF($A163="",0,IFERROR(INDEX('5'!$I$4:$I$103,MATCH($A163,'5'!$C$4:$C$103,0)),0))</f>
        <v>0</v>
      </c>
      <c r="N163" s="25" t="str">
        <f>IF($A163="","",E163+G163+I163+K163+M163)</f>
        <v/>
      </c>
      <c r="O163" s="26" t="str">
        <f>IF(OR($A163="",N163="",N163=0),"",RANK(N163,$N$4:$N$203,0))</f>
        <v/>
      </c>
      <c r="AA163">
        <f>Scherpenzeel!C98</f>
        <v>0</v>
      </c>
      <c r="AB163">
        <f>IF(AA163="",0,IF(COUNTIF($AA$1:AA163,AA163)=1,1,0))</f>
        <v>0</v>
      </c>
      <c r="AC163" t="str">
        <f>IF(AB163=1,COUNTIF($AB$1:AB163,1),"")</f>
        <v/>
      </c>
    </row>
    <row r="164" spans="1:29" x14ac:dyDescent="0.25">
      <c r="A164" s="13" t="str">
        <f>IFERROR(INDEX($AA$1:$AA$368,MATCH(161,$AC$1:$AC$368,0)),"")</f>
        <v/>
      </c>
      <c r="B164" s="13" t="str">
        <f>IF($A164="","",IF(IFERROR(INDEX(Barneveld!$E$4:$E$36,MATCH($A164,Barneveld!$C$4:$C$36,0)),"")&lt;&gt;"",IFERROR(INDEX(Barneveld!$E$4:$E$36,MATCH($A164,Barneveld!$C$4:$C$36,0)),""),IF(IFERROR(INDEX(Baarn!$F$4:$F$38,MATCH($A164,Baarn!$C$4:$C$38,0)),"")&lt;&gt;"",IFERROR(INDEX(Baarn!$F$4:$F$38,MATCH($A164,Baarn!$C$4:$C$38,0)),""),IF(IFERROR(INDEX(Scherpenzeel!$F$4:$F$103,MATCH($A164,Scherpenzeel!$C$4:$C$103,0)),"")&lt;&gt;"",IFERROR(INDEX(Scherpenzeel!$F$4:$F$103,MATCH($A164,Scherpenzeel!$C$4:$C$103,0)),""),IF(IFERROR(INDEX('4'!$F$4:$F$103,MATCH($A164,'4'!$C$4:$C$103,0)),"")&lt;&gt;"",IFERROR(INDEX('4'!$F$4:$F$103,MATCH($A164,'4'!$C$4:$C$103,0)),""),IFERROR(INDEX('5'!$F$4:$F$103,MATCH($A164,'5'!$C$4:$C$103,0)),""))))))</f>
        <v/>
      </c>
      <c r="C164" s="13" t="str">
        <f>IF($A164="","",IF(IFERROR(INDEX(Barneveld!$D$4:$D$36,MATCH($A164,Barneveld!$C$4:$C$36,0)),"")&lt;&gt;"",IFERROR(INDEX(Barneveld!$D$4:$D$36,MATCH($A164,Barneveld!$C$4:$C$36,0)),""),IF(IFERROR(INDEX(Baarn!$E$4:$E$38,MATCH($A164,Baarn!$C$4:$C$38,0)),"")&lt;&gt;"",IFERROR(INDEX(Baarn!$E$4:$E$38,MATCH($A164,Baarn!$C$4:$C$38,0)),""),IF(IFERROR(INDEX(Scherpenzeel!$E$4:$E$103,MATCH($A164,Scherpenzeel!$C$4:$C$103,0)),"")&lt;&gt;"",IFERROR(INDEX(Scherpenzeel!$E$4:$E$103,MATCH($A164,Scherpenzeel!$C$4:$C$103,0)),""),IF(IFERROR(INDEX('4'!$E$4:$E$103,MATCH($A164,'4'!$C$4:$C$103,0)),"")&lt;&gt;"",IFERROR(INDEX('4'!$E$4:$E$103,MATCH($A164,'4'!$C$4:$C$103,0)),""),IFERROR(INDEX('5'!$E$4:$E$103,MATCH($A164,'5'!$C$4:$C$103,0)),""))))))</f>
        <v/>
      </c>
      <c r="D164" s="24" t="str">
        <f>IF($A164="","",IFERROR(INDEX(Barneveld!$A$4:$A$36,MATCH($A164,Barneveld!$C$4:$C$36,0)),""))</f>
        <v/>
      </c>
      <c r="E164" s="15">
        <f>IF($A164="",0,IFERROR(INDEX(Barneveld!$H$4:$H$36,MATCH($A164,Barneveld!$C$4:$C$36,0)),0))</f>
        <v>0</v>
      </c>
      <c r="F164" s="24" t="str">
        <f>IF($A164="","",IFERROR(INDEX(Baarn!$A$4:$A$38,MATCH($A164,Baarn!$C$4:$C$38,0)),""))</f>
        <v/>
      </c>
      <c r="G164" s="15">
        <f>IF($A164="",0,IFERROR(INDEX(Baarn!$I$4:$I$38,MATCH($A164,Baarn!$C$4:$C$38,0)),0))</f>
        <v>0</v>
      </c>
      <c r="H164" s="24" t="str">
        <f>IF($A164="","",IFERROR(INDEX(Scherpenzeel!$A$4:$A$103,MATCH($A164,Scherpenzeel!$C$4:$C$103,0)),""))</f>
        <v/>
      </c>
      <c r="I164" s="15">
        <f>IF($A164="",0,IFERROR(INDEX(Scherpenzeel!$I$4:$I$103,MATCH($A164,Scherpenzeel!$C$4:$C$103,0)),0))</f>
        <v>0</v>
      </c>
      <c r="J164" s="24" t="str">
        <f>IF($A164="","",IFERROR(INDEX('4'!$A$4:$A$103,MATCH($A164,'4'!$C$4:$C$103,0)),""))</f>
        <v/>
      </c>
      <c r="K164" s="15">
        <f>IF($A164="",0,IFERROR(INDEX('4'!$I$4:$I$103,MATCH($A164,'4'!$C$4:$C$103,0)),0))</f>
        <v>0</v>
      </c>
      <c r="L164" s="24" t="str">
        <f>IF($A164="","",IFERROR(INDEX('5'!$A$4:$A$103,MATCH($A164,'5'!$C$4:$C$103,0)),""))</f>
        <v/>
      </c>
      <c r="M164" s="15">
        <f>IF($A164="",0,IFERROR(INDEX('5'!$I$4:$I$103,MATCH($A164,'5'!$C$4:$C$103,0)),0))</f>
        <v>0</v>
      </c>
      <c r="N164" s="25" t="str">
        <f>IF($A164="","",E164+G164+I164+K164+M164)</f>
        <v/>
      </c>
      <c r="O164" s="26" t="str">
        <f>IF(OR($A164="",N164="",N164=0),"",RANK(N164,$N$4:$N$203,0))</f>
        <v/>
      </c>
      <c r="AA164">
        <f>Scherpenzeel!C99</f>
        <v>0</v>
      </c>
      <c r="AB164">
        <f>IF(AA164="",0,IF(COUNTIF($AA$1:AA164,AA164)=1,1,0))</f>
        <v>0</v>
      </c>
      <c r="AC164" t="str">
        <f>IF(AB164=1,COUNTIF($AB$1:AB164,1),"")</f>
        <v/>
      </c>
    </row>
    <row r="165" spans="1:29" x14ac:dyDescent="0.25">
      <c r="A165" s="13" t="str">
        <f>IFERROR(INDEX($AA$1:$AA$368,MATCH(162,$AC$1:$AC$368,0)),"")</f>
        <v/>
      </c>
      <c r="B165" s="13" t="str">
        <f>IF($A165="","",IF(IFERROR(INDEX(Barneveld!$E$4:$E$36,MATCH($A165,Barneveld!$C$4:$C$36,0)),"")&lt;&gt;"",IFERROR(INDEX(Barneveld!$E$4:$E$36,MATCH($A165,Barneveld!$C$4:$C$36,0)),""),IF(IFERROR(INDEX(Baarn!$F$4:$F$38,MATCH($A165,Baarn!$C$4:$C$38,0)),"")&lt;&gt;"",IFERROR(INDEX(Baarn!$F$4:$F$38,MATCH($A165,Baarn!$C$4:$C$38,0)),""),IF(IFERROR(INDEX(Scherpenzeel!$F$4:$F$103,MATCH($A165,Scherpenzeel!$C$4:$C$103,0)),"")&lt;&gt;"",IFERROR(INDEX(Scherpenzeel!$F$4:$F$103,MATCH($A165,Scherpenzeel!$C$4:$C$103,0)),""),IF(IFERROR(INDEX('4'!$F$4:$F$103,MATCH($A165,'4'!$C$4:$C$103,0)),"")&lt;&gt;"",IFERROR(INDEX('4'!$F$4:$F$103,MATCH($A165,'4'!$C$4:$C$103,0)),""),IFERROR(INDEX('5'!$F$4:$F$103,MATCH($A165,'5'!$C$4:$C$103,0)),""))))))</f>
        <v/>
      </c>
      <c r="C165" s="13" t="str">
        <f>IF($A165="","",IF(IFERROR(INDEX(Barneveld!$D$4:$D$36,MATCH($A165,Barneveld!$C$4:$C$36,0)),"")&lt;&gt;"",IFERROR(INDEX(Barneveld!$D$4:$D$36,MATCH($A165,Barneveld!$C$4:$C$36,0)),""),IF(IFERROR(INDEX(Baarn!$E$4:$E$38,MATCH($A165,Baarn!$C$4:$C$38,0)),"")&lt;&gt;"",IFERROR(INDEX(Baarn!$E$4:$E$38,MATCH($A165,Baarn!$C$4:$C$38,0)),""),IF(IFERROR(INDEX(Scherpenzeel!$E$4:$E$103,MATCH($A165,Scherpenzeel!$C$4:$C$103,0)),"")&lt;&gt;"",IFERROR(INDEX(Scherpenzeel!$E$4:$E$103,MATCH($A165,Scherpenzeel!$C$4:$C$103,0)),""),IF(IFERROR(INDEX('4'!$E$4:$E$103,MATCH($A165,'4'!$C$4:$C$103,0)),"")&lt;&gt;"",IFERROR(INDEX('4'!$E$4:$E$103,MATCH($A165,'4'!$C$4:$C$103,0)),""),IFERROR(INDEX('5'!$E$4:$E$103,MATCH($A165,'5'!$C$4:$C$103,0)),""))))))</f>
        <v/>
      </c>
      <c r="D165" s="24" t="str">
        <f>IF($A165="","",IFERROR(INDEX(Barneveld!$A$4:$A$36,MATCH($A165,Barneveld!$C$4:$C$36,0)),""))</f>
        <v/>
      </c>
      <c r="E165" s="15">
        <f>IF($A165="",0,IFERROR(INDEX(Barneveld!$H$4:$H$36,MATCH($A165,Barneveld!$C$4:$C$36,0)),0))</f>
        <v>0</v>
      </c>
      <c r="F165" s="24" t="str">
        <f>IF($A165="","",IFERROR(INDEX(Baarn!$A$4:$A$38,MATCH($A165,Baarn!$C$4:$C$38,0)),""))</f>
        <v/>
      </c>
      <c r="G165" s="15">
        <f>IF($A165="",0,IFERROR(INDEX(Baarn!$I$4:$I$38,MATCH($A165,Baarn!$C$4:$C$38,0)),0))</f>
        <v>0</v>
      </c>
      <c r="H165" s="24" t="str">
        <f>IF($A165="","",IFERROR(INDEX(Scherpenzeel!$A$4:$A$103,MATCH($A165,Scherpenzeel!$C$4:$C$103,0)),""))</f>
        <v/>
      </c>
      <c r="I165" s="15">
        <f>IF($A165="",0,IFERROR(INDEX(Scherpenzeel!$I$4:$I$103,MATCH($A165,Scherpenzeel!$C$4:$C$103,0)),0))</f>
        <v>0</v>
      </c>
      <c r="J165" s="24" t="str">
        <f>IF($A165="","",IFERROR(INDEX('4'!$A$4:$A$103,MATCH($A165,'4'!$C$4:$C$103,0)),""))</f>
        <v/>
      </c>
      <c r="K165" s="15">
        <f>IF($A165="",0,IFERROR(INDEX('4'!$I$4:$I$103,MATCH($A165,'4'!$C$4:$C$103,0)),0))</f>
        <v>0</v>
      </c>
      <c r="L165" s="24" t="str">
        <f>IF($A165="","",IFERROR(INDEX('5'!$A$4:$A$103,MATCH($A165,'5'!$C$4:$C$103,0)),""))</f>
        <v/>
      </c>
      <c r="M165" s="15">
        <f>IF($A165="",0,IFERROR(INDEX('5'!$I$4:$I$103,MATCH($A165,'5'!$C$4:$C$103,0)),0))</f>
        <v>0</v>
      </c>
      <c r="N165" s="25" t="str">
        <f>IF($A165="","",E165+G165+I165+K165+M165)</f>
        <v/>
      </c>
      <c r="O165" s="26" t="str">
        <f>IF(OR($A165="",N165="",N165=0),"",RANK(N165,$N$4:$N$203,0))</f>
        <v/>
      </c>
      <c r="AA165">
        <f>Scherpenzeel!C100</f>
        <v>0</v>
      </c>
      <c r="AB165">
        <f>IF(AA165="",0,IF(COUNTIF($AA$1:AA165,AA165)=1,1,0))</f>
        <v>0</v>
      </c>
      <c r="AC165" t="str">
        <f>IF(AB165=1,COUNTIF($AB$1:AB165,1),"")</f>
        <v/>
      </c>
    </row>
    <row r="166" spans="1:29" x14ac:dyDescent="0.25">
      <c r="A166" s="13" t="str">
        <f>IFERROR(INDEX($AA$1:$AA$368,MATCH(163,$AC$1:$AC$368,0)),"")</f>
        <v/>
      </c>
      <c r="B166" s="13" t="str">
        <f>IF($A166="","",IF(IFERROR(INDEX(Barneveld!$E$4:$E$36,MATCH($A166,Barneveld!$C$4:$C$36,0)),"")&lt;&gt;"",IFERROR(INDEX(Barneveld!$E$4:$E$36,MATCH($A166,Barneveld!$C$4:$C$36,0)),""),IF(IFERROR(INDEX(Baarn!$F$4:$F$38,MATCH($A166,Baarn!$C$4:$C$38,0)),"")&lt;&gt;"",IFERROR(INDEX(Baarn!$F$4:$F$38,MATCH($A166,Baarn!$C$4:$C$38,0)),""),IF(IFERROR(INDEX(Scherpenzeel!$F$4:$F$103,MATCH($A166,Scherpenzeel!$C$4:$C$103,0)),"")&lt;&gt;"",IFERROR(INDEX(Scherpenzeel!$F$4:$F$103,MATCH($A166,Scherpenzeel!$C$4:$C$103,0)),""),IF(IFERROR(INDEX('4'!$F$4:$F$103,MATCH($A166,'4'!$C$4:$C$103,0)),"")&lt;&gt;"",IFERROR(INDEX('4'!$F$4:$F$103,MATCH($A166,'4'!$C$4:$C$103,0)),""),IFERROR(INDEX('5'!$F$4:$F$103,MATCH($A166,'5'!$C$4:$C$103,0)),""))))))</f>
        <v/>
      </c>
      <c r="C166" s="13" t="str">
        <f>IF($A166="","",IF(IFERROR(INDEX(Barneveld!$D$4:$D$36,MATCH($A166,Barneveld!$C$4:$C$36,0)),"")&lt;&gt;"",IFERROR(INDEX(Barneveld!$D$4:$D$36,MATCH($A166,Barneveld!$C$4:$C$36,0)),""),IF(IFERROR(INDEX(Baarn!$E$4:$E$38,MATCH($A166,Baarn!$C$4:$C$38,0)),"")&lt;&gt;"",IFERROR(INDEX(Baarn!$E$4:$E$38,MATCH($A166,Baarn!$C$4:$C$38,0)),""),IF(IFERROR(INDEX(Scherpenzeel!$E$4:$E$103,MATCH($A166,Scherpenzeel!$C$4:$C$103,0)),"")&lt;&gt;"",IFERROR(INDEX(Scherpenzeel!$E$4:$E$103,MATCH($A166,Scherpenzeel!$C$4:$C$103,0)),""),IF(IFERROR(INDEX('4'!$E$4:$E$103,MATCH($A166,'4'!$C$4:$C$103,0)),"")&lt;&gt;"",IFERROR(INDEX('4'!$E$4:$E$103,MATCH($A166,'4'!$C$4:$C$103,0)),""),IFERROR(INDEX('5'!$E$4:$E$103,MATCH($A166,'5'!$C$4:$C$103,0)),""))))))</f>
        <v/>
      </c>
      <c r="D166" s="24" t="str">
        <f>IF($A166="","",IFERROR(INDEX(Barneveld!$A$4:$A$36,MATCH($A166,Barneveld!$C$4:$C$36,0)),""))</f>
        <v/>
      </c>
      <c r="E166" s="15">
        <f>IF($A166="",0,IFERROR(INDEX(Barneveld!$H$4:$H$36,MATCH($A166,Barneveld!$C$4:$C$36,0)),0))</f>
        <v>0</v>
      </c>
      <c r="F166" s="24" t="str">
        <f>IF($A166="","",IFERROR(INDEX(Baarn!$A$4:$A$38,MATCH($A166,Baarn!$C$4:$C$38,0)),""))</f>
        <v/>
      </c>
      <c r="G166" s="15">
        <f>IF($A166="",0,IFERROR(INDEX(Baarn!$I$4:$I$38,MATCH($A166,Baarn!$C$4:$C$38,0)),0))</f>
        <v>0</v>
      </c>
      <c r="H166" s="24" t="str">
        <f>IF($A166="","",IFERROR(INDEX(Scherpenzeel!$A$4:$A$103,MATCH($A166,Scherpenzeel!$C$4:$C$103,0)),""))</f>
        <v/>
      </c>
      <c r="I166" s="15">
        <f>IF($A166="",0,IFERROR(INDEX(Scherpenzeel!$I$4:$I$103,MATCH($A166,Scherpenzeel!$C$4:$C$103,0)),0))</f>
        <v>0</v>
      </c>
      <c r="J166" s="24" t="str">
        <f>IF($A166="","",IFERROR(INDEX('4'!$A$4:$A$103,MATCH($A166,'4'!$C$4:$C$103,0)),""))</f>
        <v/>
      </c>
      <c r="K166" s="15">
        <f>IF($A166="",0,IFERROR(INDEX('4'!$I$4:$I$103,MATCH($A166,'4'!$C$4:$C$103,0)),0))</f>
        <v>0</v>
      </c>
      <c r="L166" s="24" t="str">
        <f>IF($A166="","",IFERROR(INDEX('5'!$A$4:$A$103,MATCH($A166,'5'!$C$4:$C$103,0)),""))</f>
        <v/>
      </c>
      <c r="M166" s="15">
        <f>IF($A166="",0,IFERROR(INDEX('5'!$I$4:$I$103,MATCH($A166,'5'!$C$4:$C$103,0)),0))</f>
        <v>0</v>
      </c>
      <c r="N166" s="25" t="str">
        <f>IF($A166="","",E166+G166+I166+K166+M166)</f>
        <v/>
      </c>
      <c r="O166" s="26" t="str">
        <f>IF(OR($A166="",N166="",N166=0),"",RANK(N166,$N$4:$N$203,0))</f>
        <v/>
      </c>
      <c r="AA166">
        <f>Scherpenzeel!C101</f>
        <v>0</v>
      </c>
      <c r="AB166">
        <f>IF(AA166="",0,IF(COUNTIF($AA$1:AA166,AA166)=1,1,0))</f>
        <v>0</v>
      </c>
      <c r="AC166" t="str">
        <f>IF(AB166=1,COUNTIF($AB$1:AB166,1),"")</f>
        <v/>
      </c>
    </row>
    <row r="167" spans="1:29" x14ac:dyDescent="0.25">
      <c r="A167" s="13" t="str">
        <f>IFERROR(INDEX($AA$1:$AA$368,MATCH(164,$AC$1:$AC$368,0)),"")</f>
        <v/>
      </c>
      <c r="B167" s="13" t="str">
        <f>IF($A167="","",IF(IFERROR(INDEX(Barneveld!$E$4:$E$36,MATCH($A167,Barneveld!$C$4:$C$36,0)),"")&lt;&gt;"",IFERROR(INDEX(Barneveld!$E$4:$E$36,MATCH($A167,Barneveld!$C$4:$C$36,0)),""),IF(IFERROR(INDEX(Baarn!$F$4:$F$38,MATCH($A167,Baarn!$C$4:$C$38,0)),"")&lt;&gt;"",IFERROR(INDEX(Baarn!$F$4:$F$38,MATCH($A167,Baarn!$C$4:$C$38,0)),""),IF(IFERROR(INDEX(Scherpenzeel!$F$4:$F$103,MATCH($A167,Scherpenzeel!$C$4:$C$103,0)),"")&lt;&gt;"",IFERROR(INDEX(Scherpenzeel!$F$4:$F$103,MATCH($A167,Scherpenzeel!$C$4:$C$103,0)),""),IF(IFERROR(INDEX('4'!$F$4:$F$103,MATCH($A167,'4'!$C$4:$C$103,0)),"")&lt;&gt;"",IFERROR(INDEX('4'!$F$4:$F$103,MATCH($A167,'4'!$C$4:$C$103,0)),""),IFERROR(INDEX('5'!$F$4:$F$103,MATCH($A167,'5'!$C$4:$C$103,0)),""))))))</f>
        <v/>
      </c>
      <c r="C167" s="13" t="str">
        <f>IF($A167="","",IF(IFERROR(INDEX(Barneveld!$D$4:$D$36,MATCH($A167,Barneveld!$C$4:$C$36,0)),"")&lt;&gt;"",IFERROR(INDEX(Barneveld!$D$4:$D$36,MATCH($A167,Barneveld!$C$4:$C$36,0)),""),IF(IFERROR(INDEX(Baarn!$E$4:$E$38,MATCH($A167,Baarn!$C$4:$C$38,0)),"")&lt;&gt;"",IFERROR(INDEX(Baarn!$E$4:$E$38,MATCH($A167,Baarn!$C$4:$C$38,0)),""),IF(IFERROR(INDEX(Scherpenzeel!$E$4:$E$103,MATCH($A167,Scherpenzeel!$C$4:$C$103,0)),"")&lt;&gt;"",IFERROR(INDEX(Scherpenzeel!$E$4:$E$103,MATCH($A167,Scherpenzeel!$C$4:$C$103,0)),""),IF(IFERROR(INDEX('4'!$E$4:$E$103,MATCH($A167,'4'!$C$4:$C$103,0)),"")&lt;&gt;"",IFERROR(INDEX('4'!$E$4:$E$103,MATCH($A167,'4'!$C$4:$C$103,0)),""),IFERROR(INDEX('5'!$E$4:$E$103,MATCH($A167,'5'!$C$4:$C$103,0)),""))))))</f>
        <v/>
      </c>
      <c r="D167" s="24" t="str">
        <f>IF($A167="","",IFERROR(INDEX(Barneveld!$A$4:$A$36,MATCH($A167,Barneveld!$C$4:$C$36,0)),""))</f>
        <v/>
      </c>
      <c r="E167" s="15">
        <f>IF($A167="",0,IFERROR(INDEX(Barneveld!$H$4:$H$36,MATCH($A167,Barneveld!$C$4:$C$36,0)),0))</f>
        <v>0</v>
      </c>
      <c r="F167" s="24" t="str">
        <f>IF($A167="","",IFERROR(INDEX(Baarn!$A$4:$A$38,MATCH($A167,Baarn!$C$4:$C$38,0)),""))</f>
        <v/>
      </c>
      <c r="G167" s="15">
        <f>IF($A167="",0,IFERROR(INDEX(Baarn!$I$4:$I$38,MATCH($A167,Baarn!$C$4:$C$38,0)),0))</f>
        <v>0</v>
      </c>
      <c r="H167" s="24" t="str">
        <f>IF($A167="","",IFERROR(INDEX(Scherpenzeel!$A$4:$A$103,MATCH($A167,Scherpenzeel!$C$4:$C$103,0)),""))</f>
        <v/>
      </c>
      <c r="I167" s="15">
        <f>IF($A167="",0,IFERROR(INDEX(Scherpenzeel!$I$4:$I$103,MATCH($A167,Scherpenzeel!$C$4:$C$103,0)),0))</f>
        <v>0</v>
      </c>
      <c r="J167" s="24" t="str">
        <f>IF($A167="","",IFERROR(INDEX('4'!$A$4:$A$103,MATCH($A167,'4'!$C$4:$C$103,0)),""))</f>
        <v/>
      </c>
      <c r="K167" s="15">
        <f>IF($A167="",0,IFERROR(INDEX('4'!$I$4:$I$103,MATCH($A167,'4'!$C$4:$C$103,0)),0))</f>
        <v>0</v>
      </c>
      <c r="L167" s="24" t="str">
        <f>IF($A167="","",IFERROR(INDEX('5'!$A$4:$A$103,MATCH($A167,'5'!$C$4:$C$103,0)),""))</f>
        <v/>
      </c>
      <c r="M167" s="15">
        <f>IF($A167="",0,IFERROR(INDEX('5'!$I$4:$I$103,MATCH($A167,'5'!$C$4:$C$103,0)),0))</f>
        <v>0</v>
      </c>
      <c r="N167" s="25" t="str">
        <f>IF($A167="","",E167+G167+I167+K167+M167)</f>
        <v/>
      </c>
      <c r="O167" s="26" t="str">
        <f>IF(OR($A167="",N167="",N167=0),"",RANK(N167,$N$4:$N$203,0))</f>
        <v/>
      </c>
      <c r="AA167">
        <f>Scherpenzeel!C102</f>
        <v>0</v>
      </c>
      <c r="AB167">
        <f>IF(AA167="",0,IF(COUNTIF($AA$1:AA167,AA167)=1,1,0))</f>
        <v>0</v>
      </c>
      <c r="AC167" t="str">
        <f>IF(AB167=1,COUNTIF($AB$1:AB167,1),"")</f>
        <v/>
      </c>
    </row>
    <row r="168" spans="1:29" x14ac:dyDescent="0.25">
      <c r="A168" s="13" t="str">
        <f>IFERROR(INDEX($AA$1:$AA$368,MATCH(165,$AC$1:$AC$368,0)),"")</f>
        <v/>
      </c>
      <c r="B168" s="13" t="str">
        <f>IF($A168="","",IF(IFERROR(INDEX(Barneveld!$E$4:$E$36,MATCH($A168,Barneveld!$C$4:$C$36,0)),"")&lt;&gt;"",IFERROR(INDEX(Barneveld!$E$4:$E$36,MATCH($A168,Barneveld!$C$4:$C$36,0)),""),IF(IFERROR(INDEX(Baarn!$F$4:$F$38,MATCH($A168,Baarn!$C$4:$C$38,0)),"")&lt;&gt;"",IFERROR(INDEX(Baarn!$F$4:$F$38,MATCH($A168,Baarn!$C$4:$C$38,0)),""),IF(IFERROR(INDEX(Scherpenzeel!$F$4:$F$103,MATCH($A168,Scherpenzeel!$C$4:$C$103,0)),"")&lt;&gt;"",IFERROR(INDEX(Scherpenzeel!$F$4:$F$103,MATCH($A168,Scherpenzeel!$C$4:$C$103,0)),""),IF(IFERROR(INDEX('4'!$F$4:$F$103,MATCH($A168,'4'!$C$4:$C$103,0)),"")&lt;&gt;"",IFERROR(INDEX('4'!$F$4:$F$103,MATCH($A168,'4'!$C$4:$C$103,0)),""),IFERROR(INDEX('5'!$F$4:$F$103,MATCH($A168,'5'!$C$4:$C$103,0)),""))))))</f>
        <v/>
      </c>
      <c r="C168" s="13" t="str">
        <f>IF($A168="","",IF(IFERROR(INDEX(Barneveld!$D$4:$D$36,MATCH($A168,Barneveld!$C$4:$C$36,0)),"")&lt;&gt;"",IFERROR(INDEX(Barneveld!$D$4:$D$36,MATCH($A168,Barneveld!$C$4:$C$36,0)),""),IF(IFERROR(INDEX(Baarn!$E$4:$E$38,MATCH($A168,Baarn!$C$4:$C$38,0)),"")&lt;&gt;"",IFERROR(INDEX(Baarn!$E$4:$E$38,MATCH($A168,Baarn!$C$4:$C$38,0)),""),IF(IFERROR(INDEX(Scherpenzeel!$E$4:$E$103,MATCH($A168,Scherpenzeel!$C$4:$C$103,0)),"")&lt;&gt;"",IFERROR(INDEX(Scherpenzeel!$E$4:$E$103,MATCH($A168,Scherpenzeel!$C$4:$C$103,0)),""),IF(IFERROR(INDEX('4'!$E$4:$E$103,MATCH($A168,'4'!$C$4:$C$103,0)),"")&lt;&gt;"",IFERROR(INDEX('4'!$E$4:$E$103,MATCH($A168,'4'!$C$4:$C$103,0)),""),IFERROR(INDEX('5'!$E$4:$E$103,MATCH($A168,'5'!$C$4:$C$103,0)),""))))))</f>
        <v/>
      </c>
      <c r="D168" s="24" t="str">
        <f>IF($A168="","",IFERROR(INDEX(Barneveld!$A$4:$A$36,MATCH($A168,Barneveld!$C$4:$C$36,0)),""))</f>
        <v/>
      </c>
      <c r="E168" s="15">
        <f>IF($A168="",0,IFERROR(INDEX(Barneveld!$H$4:$H$36,MATCH($A168,Barneveld!$C$4:$C$36,0)),0))</f>
        <v>0</v>
      </c>
      <c r="F168" s="24" t="str">
        <f>IF($A168="","",IFERROR(INDEX(Baarn!$A$4:$A$38,MATCH($A168,Baarn!$C$4:$C$38,0)),""))</f>
        <v/>
      </c>
      <c r="G168" s="15">
        <f>IF($A168="",0,IFERROR(INDEX(Baarn!$I$4:$I$38,MATCH($A168,Baarn!$C$4:$C$38,0)),0))</f>
        <v>0</v>
      </c>
      <c r="H168" s="24" t="str">
        <f>IF($A168="","",IFERROR(INDEX(Scherpenzeel!$A$4:$A$103,MATCH($A168,Scherpenzeel!$C$4:$C$103,0)),""))</f>
        <v/>
      </c>
      <c r="I168" s="15">
        <f>IF($A168="",0,IFERROR(INDEX(Scherpenzeel!$I$4:$I$103,MATCH($A168,Scherpenzeel!$C$4:$C$103,0)),0))</f>
        <v>0</v>
      </c>
      <c r="J168" s="24" t="str">
        <f>IF($A168="","",IFERROR(INDEX('4'!$A$4:$A$103,MATCH($A168,'4'!$C$4:$C$103,0)),""))</f>
        <v/>
      </c>
      <c r="K168" s="15">
        <f>IF($A168="",0,IFERROR(INDEX('4'!$I$4:$I$103,MATCH($A168,'4'!$C$4:$C$103,0)),0))</f>
        <v>0</v>
      </c>
      <c r="L168" s="24" t="str">
        <f>IF($A168="","",IFERROR(INDEX('5'!$A$4:$A$103,MATCH($A168,'5'!$C$4:$C$103,0)),""))</f>
        <v/>
      </c>
      <c r="M168" s="15">
        <f>IF($A168="",0,IFERROR(INDEX('5'!$I$4:$I$103,MATCH($A168,'5'!$C$4:$C$103,0)),0))</f>
        <v>0</v>
      </c>
      <c r="N168" s="25" t="str">
        <f>IF($A168="","",E168+G168+I168+K168+M168)</f>
        <v/>
      </c>
      <c r="O168" s="26" t="str">
        <f>IF(OR($A168="",N168="",N168=0),"",RANK(N168,$N$4:$N$203,0))</f>
        <v/>
      </c>
      <c r="AA168">
        <f>Scherpenzeel!C103</f>
        <v>0</v>
      </c>
      <c r="AB168">
        <f>IF(AA168="",0,IF(COUNTIF($AA$1:AA168,AA168)=1,1,0))</f>
        <v>0</v>
      </c>
      <c r="AC168" t="str">
        <f>IF(AB168=1,COUNTIF($AB$1:AB168,1),"")</f>
        <v/>
      </c>
    </row>
    <row r="169" spans="1:29" x14ac:dyDescent="0.25">
      <c r="A169" s="13" t="str">
        <f>IFERROR(INDEX($AA$1:$AA$368,MATCH(166,$AC$1:$AC$368,0)),"")</f>
        <v/>
      </c>
      <c r="B169" s="13" t="str">
        <f>IF($A169="","",IF(IFERROR(INDEX(Barneveld!$E$4:$E$36,MATCH($A169,Barneveld!$C$4:$C$36,0)),"")&lt;&gt;"",IFERROR(INDEX(Barneveld!$E$4:$E$36,MATCH($A169,Barneveld!$C$4:$C$36,0)),""),IF(IFERROR(INDEX(Baarn!$F$4:$F$38,MATCH($A169,Baarn!$C$4:$C$38,0)),"")&lt;&gt;"",IFERROR(INDEX(Baarn!$F$4:$F$38,MATCH($A169,Baarn!$C$4:$C$38,0)),""),IF(IFERROR(INDEX(Scherpenzeel!$F$4:$F$103,MATCH($A169,Scherpenzeel!$C$4:$C$103,0)),"")&lt;&gt;"",IFERROR(INDEX(Scherpenzeel!$F$4:$F$103,MATCH($A169,Scherpenzeel!$C$4:$C$103,0)),""),IF(IFERROR(INDEX('4'!$F$4:$F$103,MATCH($A169,'4'!$C$4:$C$103,0)),"")&lt;&gt;"",IFERROR(INDEX('4'!$F$4:$F$103,MATCH($A169,'4'!$C$4:$C$103,0)),""),IFERROR(INDEX('5'!$F$4:$F$103,MATCH($A169,'5'!$C$4:$C$103,0)),""))))))</f>
        <v/>
      </c>
      <c r="C169" s="13" t="str">
        <f>IF($A169="","",IF(IFERROR(INDEX(Barneveld!$D$4:$D$36,MATCH($A169,Barneveld!$C$4:$C$36,0)),"")&lt;&gt;"",IFERROR(INDEX(Barneveld!$D$4:$D$36,MATCH($A169,Barneveld!$C$4:$C$36,0)),""),IF(IFERROR(INDEX(Baarn!$E$4:$E$38,MATCH($A169,Baarn!$C$4:$C$38,0)),"")&lt;&gt;"",IFERROR(INDEX(Baarn!$E$4:$E$38,MATCH($A169,Baarn!$C$4:$C$38,0)),""),IF(IFERROR(INDEX(Scherpenzeel!$E$4:$E$103,MATCH($A169,Scherpenzeel!$C$4:$C$103,0)),"")&lt;&gt;"",IFERROR(INDEX(Scherpenzeel!$E$4:$E$103,MATCH($A169,Scherpenzeel!$C$4:$C$103,0)),""),IF(IFERROR(INDEX('4'!$E$4:$E$103,MATCH($A169,'4'!$C$4:$C$103,0)),"")&lt;&gt;"",IFERROR(INDEX('4'!$E$4:$E$103,MATCH($A169,'4'!$C$4:$C$103,0)),""),IFERROR(INDEX('5'!$E$4:$E$103,MATCH($A169,'5'!$C$4:$C$103,0)),""))))))</f>
        <v/>
      </c>
      <c r="D169" s="24" t="str">
        <f>IF($A169="","",IFERROR(INDEX(Barneveld!$A$4:$A$36,MATCH($A169,Barneveld!$C$4:$C$36,0)),""))</f>
        <v/>
      </c>
      <c r="E169" s="15">
        <f>IF($A169="",0,IFERROR(INDEX(Barneveld!$H$4:$H$36,MATCH($A169,Barneveld!$C$4:$C$36,0)),0))</f>
        <v>0</v>
      </c>
      <c r="F169" s="24" t="str">
        <f>IF($A169="","",IFERROR(INDEX(Baarn!$A$4:$A$38,MATCH($A169,Baarn!$C$4:$C$38,0)),""))</f>
        <v/>
      </c>
      <c r="G169" s="15">
        <f>IF($A169="",0,IFERROR(INDEX(Baarn!$I$4:$I$38,MATCH($A169,Baarn!$C$4:$C$38,0)),0))</f>
        <v>0</v>
      </c>
      <c r="H169" s="24" t="str">
        <f>IF($A169="","",IFERROR(INDEX(Scherpenzeel!$A$4:$A$103,MATCH($A169,Scherpenzeel!$C$4:$C$103,0)),""))</f>
        <v/>
      </c>
      <c r="I169" s="15">
        <f>IF($A169="",0,IFERROR(INDEX(Scherpenzeel!$I$4:$I$103,MATCH($A169,Scherpenzeel!$C$4:$C$103,0)),0))</f>
        <v>0</v>
      </c>
      <c r="J169" s="24" t="str">
        <f>IF($A169="","",IFERROR(INDEX('4'!$A$4:$A$103,MATCH($A169,'4'!$C$4:$C$103,0)),""))</f>
        <v/>
      </c>
      <c r="K169" s="15">
        <f>IF($A169="",0,IFERROR(INDEX('4'!$I$4:$I$103,MATCH($A169,'4'!$C$4:$C$103,0)),0))</f>
        <v>0</v>
      </c>
      <c r="L169" s="24" t="str">
        <f>IF($A169="","",IFERROR(INDEX('5'!$A$4:$A$103,MATCH($A169,'5'!$C$4:$C$103,0)),""))</f>
        <v/>
      </c>
      <c r="M169" s="15">
        <f>IF($A169="",0,IFERROR(INDEX('5'!$I$4:$I$103,MATCH($A169,'5'!$C$4:$C$103,0)),0))</f>
        <v>0</v>
      </c>
      <c r="N169" s="25" t="str">
        <f>IF($A169="","",E169+G169+I169+K169+M169)</f>
        <v/>
      </c>
      <c r="O169" s="26" t="str">
        <f>IF(OR($A169="",N169="",N169=0),"",RANK(N169,$N$4:$N$203,0))</f>
        <v/>
      </c>
      <c r="AA169">
        <f>'4'!C4</f>
        <v>0</v>
      </c>
      <c r="AB169">
        <f>IF(AA169="",0,IF(COUNTIF($AA$1:AA169,AA169)=1,1,0))</f>
        <v>0</v>
      </c>
      <c r="AC169" t="str">
        <f>IF(AB169=1,COUNTIF($AB$1:AB169,1),"")</f>
        <v/>
      </c>
    </row>
    <row r="170" spans="1:29" x14ac:dyDescent="0.25">
      <c r="A170" s="13" t="str">
        <f>IFERROR(INDEX($AA$1:$AA$368,MATCH(167,$AC$1:$AC$368,0)),"")</f>
        <v/>
      </c>
      <c r="B170" s="13" t="str">
        <f>IF($A170="","",IF(IFERROR(INDEX(Barneveld!$E$4:$E$36,MATCH($A170,Barneveld!$C$4:$C$36,0)),"")&lt;&gt;"",IFERROR(INDEX(Barneveld!$E$4:$E$36,MATCH($A170,Barneveld!$C$4:$C$36,0)),""),IF(IFERROR(INDEX(Baarn!$F$4:$F$38,MATCH($A170,Baarn!$C$4:$C$38,0)),"")&lt;&gt;"",IFERROR(INDEX(Baarn!$F$4:$F$38,MATCH($A170,Baarn!$C$4:$C$38,0)),""),IF(IFERROR(INDEX(Scherpenzeel!$F$4:$F$103,MATCH($A170,Scherpenzeel!$C$4:$C$103,0)),"")&lt;&gt;"",IFERROR(INDEX(Scherpenzeel!$F$4:$F$103,MATCH($A170,Scherpenzeel!$C$4:$C$103,0)),""),IF(IFERROR(INDEX('4'!$F$4:$F$103,MATCH($A170,'4'!$C$4:$C$103,0)),"")&lt;&gt;"",IFERROR(INDEX('4'!$F$4:$F$103,MATCH($A170,'4'!$C$4:$C$103,0)),""),IFERROR(INDEX('5'!$F$4:$F$103,MATCH($A170,'5'!$C$4:$C$103,0)),""))))))</f>
        <v/>
      </c>
      <c r="C170" s="13" t="str">
        <f>IF($A170="","",IF(IFERROR(INDEX(Barneveld!$D$4:$D$36,MATCH($A170,Barneveld!$C$4:$C$36,0)),"")&lt;&gt;"",IFERROR(INDEX(Barneveld!$D$4:$D$36,MATCH($A170,Barneveld!$C$4:$C$36,0)),""),IF(IFERROR(INDEX(Baarn!$E$4:$E$38,MATCH($A170,Baarn!$C$4:$C$38,0)),"")&lt;&gt;"",IFERROR(INDEX(Baarn!$E$4:$E$38,MATCH($A170,Baarn!$C$4:$C$38,0)),""),IF(IFERROR(INDEX(Scherpenzeel!$E$4:$E$103,MATCH($A170,Scherpenzeel!$C$4:$C$103,0)),"")&lt;&gt;"",IFERROR(INDEX(Scherpenzeel!$E$4:$E$103,MATCH($A170,Scherpenzeel!$C$4:$C$103,0)),""),IF(IFERROR(INDEX('4'!$E$4:$E$103,MATCH($A170,'4'!$C$4:$C$103,0)),"")&lt;&gt;"",IFERROR(INDEX('4'!$E$4:$E$103,MATCH($A170,'4'!$C$4:$C$103,0)),""),IFERROR(INDEX('5'!$E$4:$E$103,MATCH($A170,'5'!$C$4:$C$103,0)),""))))))</f>
        <v/>
      </c>
      <c r="D170" s="24" t="str">
        <f>IF($A170="","",IFERROR(INDEX(Barneveld!$A$4:$A$36,MATCH($A170,Barneveld!$C$4:$C$36,0)),""))</f>
        <v/>
      </c>
      <c r="E170" s="15">
        <f>IF($A170="",0,IFERROR(INDEX(Barneveld!$H$4:$H$36,MATCH($A170,Barneveld!$C$4:$C$36,0)),0))</f>
        <v>0</v>
      </c>
      <c r="F170" s="24" t="str">
        <f>IF($A170="","",IFERROR(INDEX(Baarn!$A$4:$A$38,MATCH($A170,Baarn!$C$4:$C$38,0)),""))</f>
        <v/>
      </c>
      <c r="G170" s="15">
        <f>IF($A170="",0,IFERROR(INDEX(Baarn!$I$4:$I$38,MATCH($A170,Baarn!$C$4:$C$38,0)),0))</f>
        <v>0</v>
      </c>
      <c r="H170" s="24" t="str">
        <f>IF($A170="","",IFERROR(INDEX(Scherpenzeel!$A$4:$A$103,MATCH($A170,Scherpenzeel!$C$4:$C$103,0)),""))</f>
        <v/>
      </c>
      <c r="I170" s="15">
        <f>IF($A170="",0,IFERROR(INDEX(Scherpenzeel!$I$4:$I$103,MATCH($A170,Scherpenzeel!$C$4:$C$103,0)),0))</f>
        <v>0</v>
      </c>
      <c r="J170" s="24" t="str">
        <f>IF($A170="","",IFERROR(INDEX('4'!$A$4:$A$103,MATCH($A170,'4'!$C$4:$C$103,0)),""))</f>
        <v/>
      </c>
      <c r="K170" s="15">
        <f>IF($A170="",0,IFERROR(INDEX('4'!$I$4:$I$103,MATCH($A170,'4'!$C$4:$C$103,0)),0))</f>
        <v>0</v>
      </c>
      <c r="L170" s="24" t="str">
        <f>IF($A170="","",IFERROR(INDEX('5'!$A$4:$A$103,MATCH($A170,'5'!$C$4:$C$103,0)),""))</f>
        <v/>
      </c>
      <c r="M170" s="15">
        <f>IF($A170="",0,IFERROR(INDEX('5'!$I$4:$I$103,MATCH($A170,'5'!$C$4:$C$103,0)),0))</f>
        <v>0</v>
      </c>
      <c r="N170" s="25" t="str">
        <f>IF($A170="","",E170+G170+I170+K170+M170)</f>
        <v/>
      </c>
      <c r="O170" s="26" t="str">
        <f>IF(OR($A170="",N170="",N170=0),"",RANK(N170,$N$4:$N$203,0))</f>
        <v/>
      </c>
      <c r="AA170">
        <f>'4'!C5</f>
        <v>0</v>
      </c>
      <c r="AB170">
        <f>IF(AA170="",0,IF(COUNTIF($AA$1:AA170,AA170)=1,1,0))</f>
        <v>0</v>
      </c>
      <c r="AC170" t="str">
        <f>IF(AB170=1,COUNTIF($AB$1:AB170,1),"")</f>
        <v/>
      </c>
    </row>
    <row r="171" spans="1:29" x14ac:dyDescent="0.25">
      <c r="A171" s="13" t="str">
        <f>IFERROR(INDEX($AA$1:$AA$368,MATCH(168,$AC$1:$AC$368,0)),"")</f>
        <v/>
      </c>
      <c r="B171" s="13" t="str">
        <f>IF($A171="","",IF(IFERROR(INDEX(Barneveld!$E$4:$E$36,MATCH($A171,Barneveld!$C$4:$C$36,0)),"")&lt;&gt;"",IFERROR(INDEX(Barneveld!$E$4:$E$36,MATCH($A171,Barneveld!$C$4:$C$36,0)),""),IF(IFERROR(INDEX(Baarn!$F$4:$F$38,MATCH($A171,Baarn!$C$4:$C$38,0)),"")&lt;&gt;"",IFERROR(INDEX(Baarn!$F$4:$F$38,MATCH($A171,Baarn!$C$4:$C$38,0)),""),IF(IFERROR(INDEX(Scherpenzeel!$F$4:$F$103,MATCH($A171,Scherpenzeel!$C$4:$C$103,0)),"")&lt;&gt;"",IFERROR(INDEX(Scherpenzeel!$F$4:$F$103,MATCH($A171,Scherpenzeel!$C$4:$C$103,0)),""),IF(IFERROR(INDEX('4'!$F$4:$F$103,MATCH($A171,'4'!$C$4:$C$103,0)),"")&lt;&gt;"",IFERROR(INDEX('4'!$F$4:$F$103,MATCH($A171,'4'!$C$4:$C$103,0)),""),IFERROR(INDEX('5'!$F$4:$F$103,MATCH($A171,'5'!$C$4:$C$103,0)),""))))))</f>
        <v/>
      </c>
      <c r="C171" s="13" t="str">
        <f>IF($A171="","",IF(IFERROR(INDEX(Barneveld!$D$4:$D$36,MATCH($A171,Barneveld!$C$4:$C$36,0)),"")&lt;&gt;"",IFERROR(INDEX(Barneveld!$D$4:$D$36,MATCH($A171,Barneveld!$C$4:$C$36,0)),""),IF(IFERROR(INDEX(Baarn!$E$4:$E$38,MATCH($A171,Baarn!$C$4:$C$38,0)),"")&lt;&gt;"",IFERROR(INDEX(Baarn!$E$4:$E$38,MATCH($A171,Baarn!$C$4:$C$38,0)),""),IF(IFERROR(INDEX(Scherpenzeel!$E$4:$E$103,MATCH($A171,Scherpenzeel!$C$4:$C$103,0)),"")&lt;&gt;"",IFERROR(INDEX(Scherpenzeel!$E$4:$E$103,MATCH($A171,Scherpenzeel!$C$4:$C$103,0)),""),IF(IFERROR(INDEX('4'!$E$4:$E$103,MATCH($A171,'4'!$C$4:$C$103,0)),"")&lt;&gt;"",IFERROR(INDEX('4'!$E$4:$E$103,MATCH($A171,'4'!$C$4:$C$103,0)),""),IFERROR(INDEX('5'!$E$4:$E$103,MATCH($A171,'5'!$C$4:$C$103,0)),""))))))</f>
        <v/>
      </c>
      <c r="D171" s="24" t="str">
        <f>IF($A171="","",IFERROR(INDEX(Barneveld!$A$4:$A$36,MATCH($A171,Barneveld!$C$4:$C$36,0)),""))</f>
        <v/>
      </c>
      <c r="E171" s="15">
        <f>IF($A171="",0,IFERROR(INDEX(Barneveld!$H$4:$H$36,MATCH($A171,Barneveld!$C$4:$C$36,0)),0))</f>
        <v>0</v>
      </c>
      <c r="F171" s="24" t="str">
        <f>IF($A171="","",IFERROR(INDEX(Baarn!$A$4:$A$38,MATCH($A171,Baarn!$C$4:$C$38,0)),""))</f>
        <v/>
      </c>
      <c r="G171" s="15">
        <f>IF($A171="",0,IFERROR(INDEX(Baarn!$I$4:$I$38,MATCH($A171,Baarn!$C$4:$C$38,0)),0))</f>
        <v>0</v>
      </c>
      <c r="H171" s="24" t="str">
        <f>IF($A171="","",IFERROR(INDEX(Scherpenzeel!$A$4:$A$103,MATCH($A171,Scherpenzeel!$C$4:$C$103,0)),""))</f>
        <v/>
      </c>
      <c r="I171" s="15">
        <f>IF($A171="",0,IFERROR(INDEX(Scherpenzeel!$I$4:$I$103,MATCH($A171,Scherpenzeel!$C$4:$C$103,0)),0))</f>
        <v>0</v>
      </c>
      <c r="J171" s="24" t="str">
        <f>IF($A171="","",IFERROR(INDEX('4'!$A$4:$A$103,MATCH($A171,'4'!$C$4:$C$103,0)),""))</f>
        <v/>
      </c>
      <c r="K171" s="15">
        <f>IF($A171="",0,IFERROR(INDEX('4'!$I$4:$I$103,MATCH($A171,'4'!$C$4:$C$103,0)),0))</f>
        <v>0</v>
      </c>
      <c r="L171" s="24" t="str">
        <f>IF($A171="","",IFERROR(INDEX('5'!$A$4:$A$103,MATCH($A171,'5'!$C$4:$C$103,0)),""))</f>
        <v/>
      </c>
      <c r="M171" s="15">
        <f>IF($A171="",0,IFERROR(INDEX('5'!$I$4:$I$103,MATCH($A171,'5'!$C$4:$C$103,0)),0))</f>
        <v>0</v>
      </c>
      <c r="N171" s="25" t="str">
        <f>IF($A171="","",E171+G171+I171+K171+M171)</f>
        <v/>
      </c>
      <c r="O171" s="26" t="str">
        <f>IF(OR($A171="",N171="",N171=0),"",RANK(N171,$N$4:$N$203,0))</f>
        <v/>
      </c>
      <c r="AA171">
        <f>'4'!C6</f>
        <v>0</v>
      </c>
      <c r="AB171">
        <f>IF(AA171="",0,IF(COUNTIF($AA$1:AA171,AA171)=1,1,0))</f>
        <v>0</v>
      </c>
      <c r="AC171" t="str">
        <f>IF(AB171=1,COUNTIF($AB$1:AB171,1),"")</f>
        <v/>
      </c>
    </row>
    <row r="172" spans="1:29" x14ac:dyDescent="0.25">
      <c r="A172" s="13" t="str">
        <f>IFERROR(INDEX($AA$1:$AA$368,MATCH(169,$AC$1:$AC$368,0)),"")</f>
        <v/>
      </c>
      <c r="B172" s="13" t="str">
        <f>IF($A172="","",IF(IFERROR(INDEX(Barneveld!$E$4:$E$36,MATCH($A172,Barneveld!$C$4:$C$36,0)),"")&lt;&gt;"",IFERROR(INDEX(Barneveld!$E$4:$E$36,MATCH($A172,Barneveld!$C$4:$C$36,0)),""),IF(IFERROR(INDEX(Baarn!$F$4:$F$38,MATCH($A172,Baarn!$C$4:$C$38,0)),"")&lt;&gt;"",IFERROR(INDEX(Baarn!$F$4:$F$38,MATCH($A172,Baarn!$C$4:$C$38,0)),""),IF(IFERROR(INDEX(Scherpenzeel!$F$4:$F$103,MATCH($A172,Scherpenzeel!$C$4:$C$103,0)),"")&lt;&gt;"",IFERROR(INDEX(Scherpenzeel!$F$4:$F$103,MATCH($A172,Scherpenzeel!$C$4:$C$103,0)),""),IF(IFERROR(INDEX('4'!$F$4:$F$103,MATCH($A172,'4'!$C$4:$C$103,0)),"")&lt;&gt;"",IFERROR(INDEX('4'!$F$4:$F$103,MATCH($A172,'4'!$C$4:$C$103,0)),""),IFERROR(INDEX('5'!$F$4:$F$103,MATCH($A172,'5'!$C$4:$C$103,0)),""))))))</f>
        <v/>
      </c>
      <c r="C172" s="13" t="str">
        <f>IF($A172="","",IF(IFERROR(INDEX(Barneveld!$D$4:$D$36,MATCH($A172,Barneveld!$C$4:$C$36,0)),"")&lt;&gt;"",IFERROR(INDEX(Barneveld!$D$4:$D$36,MATCH($A172,Barneveld!$C$4:$C$36,0)),""),IF(IFERROR(INDEX(Baarn!$E$4:$E$38,MATCH($A172,Baarn!$C$4:$C$38,0)),"")&lt;&gt;"",IFERROR(INDEX(Baarn!$E$4:$E$38,MATCH($A172,Baarn!$C$4:$C$38,0)),""),IF(IFERROR(INDEX(Scherpenzeel!$E$4:$E$103,MATCH($A172,Scherpenzeel!$C$4:$C$103,0)),"")&lt;&gt;"",IFERROR(INDEX(Scherpenzeel!$E$4:$E$103,MATCH($A172,Scherpenzeel!$C$4:$C$103,0)),""),IF(IFERROR(INDEX('4'!$E$4:$E$103,MATCH($A172,'4'!$C$4:$C$103,0)),"")&lt;&gt;"",IFERROR(INDEX('4'!$E$4:$E$103,MATCH($A172,'4'!$C$4:$C$103,0)),""),IFERROR(INDEX('5'!$E$4:$E$103,MATCH($A172,'5'!$C$4:$C$103,0)),""))))))</f>
        <v/>
      </c>
      <c r="D172" s="24" t="str">
        <f>IF($A172="","",IFERROR(INDEX(Barneveld!$A$4:$A$36,MATCH($A172,Barneveld!$C$4:$C$36,0)),""))</f>
        <v/>
      </c>
      <c r="E172" s="15">
        <f>IF($A172="",0,IFERROR(INDEX(Barneveld!$H$4:$H$36,MATCH($A172,Barneveld!$C$4:$C$36,0)),0))</f>
        <v>0</v>
      </c>
      <c r="F172" s="24" t="str">
        <f>IF($A172="","",IFERROR(INDEX(Baarn!$A$4:$A$38,MATCH($A172,Baarn!$C$4:$C$38,0)),""))</f>
        <v/>
      </c>
      <c r="G172" s="15">
        <f>IF($A172="",0,IFERROR(INDEX(Baarn!$I$4:$I$38,MATCH($A172,Baarn!$C$4:$C$38,0)),0))</f>
        <v>0</v>
      </c>
      <c r="H172" s="24" t="str">
        <f>IF($A172="","",IFERROR(INDEX(Scherpenzeel!$A$4:$A$103,MATCH($A172,Scherpenzeel!$C$4:$C$103,0)),""))</f>
        <v/>
      </c>
      <c r="I172" s="15">
        <f>IF($A172="",0,IFERROR(INDEX(Scherpenzeel!$I$4:$I$103,MATCH($A172,Scherpenzeel!$C$4:$C$103,0)),0))</f>
        <v>0</v>
      </c>
      <c r="J172" s="24" t="str">
        <f>IF($A172="","",IFERROR(INDEX('4'!$A$4:$A$103,MATCH($A172,'4'!$C$4:$C$103,0)),""))</f>
        <v/>
      </c>
      <c r="K172" s="15">
        <f>IF($A172="",0,IFERROR(INDEX('4'!$I$4:$I$103,MATCH($A172,'4'!$C$4:$C$103,0)),0))</f>
        <v>0</v>
      </c>
      <c r="L172" s="24" t="str">
        <f>IF($A172="","",IFERROR(INDEX('5'!$A$4:$A$103,MATCH($A172,'5'!$C$4:$C$103,0)),""))</f>
        <v/>
      </c>
      <c r="M172" s="15">
        <f>IF($A172="",0,IFERROR(INDEX('5'!$I$4:$I$103,MATCH($A172,'5'!$C$4:$C$103,0)),0))</f>
        <v>0</v>
      </c>
      <c r="N172" s="25" t="str">
        <f>IF($A172="","",E172+G172+I172+K172+M172)</f>
        <v/>
      </c>
      <c r="O172" s="26" t="str">
        <f>IF(OR($A172="",N172="",N172=0),"",RANK(N172,$N$4:$N$203,0))</f>
        <v/>
      </c>
      <c r="AA172">
        <f>'4'!C7</f>
        <v>0</v>
      </c>
      <c r="AB172">
        <f>IF(AA172="",0,IF(COUNTIF($AA$1:AA172,AA172)=1,1,0))</f>
        <v>0</v>
      </c>
      <c r="AC172" t="str">
        <f>IF(AB172=1,COUNTIF($AB$1:AB172,1),"")</f>
        <v/>
      </c>
    </row>
    <row r="173" spans="1:29" x14ac:dyDescent="0.25">
      <c r="A173" s="13" t="str">
        <f>IFERROR(INDEX($AA$1:$AA$368,MATCH(170,$AC$1:$AC$368,0)),"")</f>
        <v/>
      </c>
      <c r="B173" s="13" t="str">
        <f>IF($A173="","",IF(IFERROR(INDEX(Barneveld!$E$4:$E$36,MATCH($A173,Barneveld!$C$4:$C$36,0)),"")&lt;&gt;"",IFERROR(INDEX(Barneveld!$E$4:$E$36,MATCH($A173,Barneveld!$C$4:$C$36,0)),""),IF(IFERROR(INDEX(Baarn!$F$4:$F$38,MATCH($A173,Baarn!$C$4:$C$38,0)),"")&lt;&gt;"",IFERROR(INDEX(Baarn!$F$4:$F$38,MATCH($A173,Baarn!$C$4:$C$38,0)),""),IF(IFERROR(INDEX(Scherpenzeel!$F$4:$F$103,MATCH($A173,Scherpenzeel!$C$4:$C$103,0)),"")&lt;&gt;"",IFERROR(INDEX(Scherpenzeel!$F$4:$F$103,MATCH($A173,Scherpenzeel!$C$4:$C$103,0)),""),IF(IFERROR(INDEX('4'!$F$4:$F$103,MATCH($A173,'4'!$C$4:$C$103,0)),"")&lt;&gt;"",IFERROR(INDEX('4'!$F$4:$F$103,MATCH($A173,'4'!$C$4:$C$103,0)),""),IFERROR(INDEX('5'!$F$4:$F$103,MATCH($A173,'5'!$C$4:$C$103,0)),""))))))</f>
        <v/>
      </c>
      <c r="C173" s="13" t="str">
        <f>IF($A173="","",IF(IFERROR(INDEX(Barneveld!$D$4:$D$36,MATCH($A173,Barneveld!$C$4:$C$36,0)),"")&lt;&gt;"",IFERROR(INDEX(Barneveld!$D$4:$D$36,MATCH($A173,Barneveld!$C$4:$C$36,0)),""),IF(IFERROR(INDEX(Baarn!$E$4:$E$38,MATCH($A173,Baarn!$C$4:$C$38,0)),"")&lt;&gt;"",IFERROR(INDEX(Baarn!$E$4:$E$38,MATCH($A173,Baarn!$C$4:$C$38,0)),""),IF(IFERROR(INDEX(Scherpenzeel!$E$4:$E$103,MATCH($A173,Scherpenzeel!$C$4:$C$103,0)),"")&lt;&gt;"",IFERROR(INDEX(Scherpenzeel!$E$4:$E$103,MATCH($A173,Scherpenzeel!$C$4:$C$103,0)),""),IF(IFERROR(INDEX('4'!$E$4:$E$103,MATCH($A173,'4'!$C$4:$C$103,0)),"")&lt;&gt;"",IFERROR(INDEX('4'!$E$4:$E$103,MATCH($A173,'4'!$C$4:$C$103,0)),""),IFERROR(INDEX('5'!$E$4:$E$103,MATCH($A173,'5'!$C$4:$C$103,0)),""))))))</f>
        <v/>
      </c>
      <c r="D173" s="24" t="str">
        <f>IF($A173="","",IFERROR(INDEX(Barneveld!$A$4:$A$36,MATCH($A173,Barneveld!$C$4:$C$36,0)),""))</f>
        <v/>
      </c>
      <c r="E173" s="15">
        <f>IF($A173="",0,IFERROR(INDEX(Barneveld!$H$4:$H$36,MATCH($A173,Barneveld!$C$4:$C$36,0)),0))</f>
        <v>0</v>
      </c>
      <c r="F173" s="24" t="str">
        <f>IF($A173="","",IFERROR(INDEX(Baarn!$A$4:$A$38,MATCH($A173,Baarn!$C$4:$C$38,0)),""))</f>
        <v/>
      </c>
      <c r="G173" s="15">
        <f>IF($A173="",0,IFERROR(INDEX(Baarn!$I$4:$I$38,MATCH($A173,Baarn!$C$4:$C$38,0)),0))</f>
        <v>0</v>
      </c>
      <c r="H173" s="24" t="str">
        <f>IF($A173="","",IFERROR(INDEX(Scherpenzeel!$A$4:$A$103,MATCH($A173,Scherpenzeel!$C$4:$C$103,0)),""))</f>
        <v/>
      </c>
      <c r="I173" s="15">
        <f>IF($A173="",0,IFERROR(INDEX(Scherpenzeel!$I$4:$I$103,MATCH($A173,Scherpenzeel!$C$4:$C$103,0)),0))</f>
        <v>0</v>
      </c>
      <c r="J173" s="24" t="str">
        <f>IF($A173="","",IFERROR(INDEX('4'!$A$4:$A$103,MATCH($A173,'4'!$C$4:$C$103,0)),""))</f>
        <v/>
      </c>
      <c r="K173" s="15">
        <f>IF($A173="",0,IFERROR(INDEX('4'!$I$4:$I$103,MATCH($A173,'4'!$C$4:$C$103,0)),0))</f>
        <v>0</v>
      </c>
      <c r="L173" s="24" t="str">
        <f>IF($A173="","",IFERROR(INDEX('5'!$A$4:$A$103,MATCH($A173,'5'!$C$4:$C$103,0)),""))</f>
        <v/>
      </c>
      <c r="M173" s="15">
        <f>IF($A173="",0,IFERROR(INDEX('5'!$I$4:$I$103,MATCH($A173,'5'!$C$4:$C$103,0)),0))</f>
        <v>0</v>
      </c>
      <c r="N173" s="25" t="str">
        <f>IF($A173="","",E173+G173+I173+K173+M173)</f>
        <v/>
      </c>
      <c r="O173" s="26" t="str">
        <f>IF(OR($A173="",N173="",N173=0),"",RANK(N173,$N$4:$N$203,0))</f>
        <v/>
      </c>
      <c r="AA173">
        <f>'4'!C8</f>
        <v>0</v>
      </c>
      <c r="AB173">
        <f>IF(AA173="",0,IF(COUNTIF($AA$1:AA173,AA173)=1,1,0))</f>
        <v>0</v>
      </c>
      <c r="AC173" t="str">
        <f>IF(AB173=1,COUNTIF($AB$1:AB173,1),"")</f>
        <v/>
      </c>
    </row>
    <row r="174" spans="1:29" x14ac:dyDescent="0.25">
      <c r="A174" s="13" t="str">
        <f>IFERROR(INDEX($AA$1:$AA$368,MATCH(171,$AC$1:$AC$368,0)),"")</f>
        <v/>
      </c>
      <c r="B174" s="13" t="str">
        <f>IF($A174="","",IF(IFERROR(INDEX(Barneveld!$E$4:$E$36,MATCH($A174,Barneveld!$C$4:$C$36,0)),"")&lt;&gt;"",IFERROR(INDEX(Barneveld!$E$4:$E$36,MATCH($A174,Barneveld!$C$4:$C$36,0)),""),IF(IFERROR(INDEX(Baarn!$F$4:$F$38,MATCH($A174,Baarn!$C$4:$C$38,0)),"")&lt;&gt;"",IFERROR(INDEX(Baarn!$F$4:$F$38,MATCH($A174,Baarn!$C$4:$C$38,0)),""),IF(IFERROR(INDEX(Scherpenzeel!$F$4:$F$103,MATCH($A174,Scherpenzeel!$C$4:$C$103,0)),"")&lt;&gt;"",IFERROR(INDEX(Scherpenzeel!$F$4:$F$103,MATCH($A174,Scherpenzeel!$C$4:$C$103,0)),""),IF(IFERROR(INDEX('4'!$F$4:$F$103,MATCH($A174,'4'!$C$4:$C$103,0)),"")&lt;&gt;"",IFERROR(INDEX('4'!$F$4:$F$103,MATCH($A174,'4'!$C$4:$C$103,0)),""),IFERROR(INDEX('5'!$F$4:$F$103,MATCH($A174,'5'!$C$4:$C$103,0)),""))))))</f>
        <v/>
      </c>
      <c r="C174" s="13" t="str">
        <f>IF($A174="","",IF(IFERROR(INDEX(Barneveld!$D$4:$D$36,MATCH($A174,Barneveld!$C$4:$C$36,0)),"")&lt;&gt;"",IFERROR(INDEX(Barneveld!$D$4:$D$36,MATCH($A174,Barneveld!$C$4:$C$36,0)),""),IF(IFERROR(INDEX(Baarn!$E$4:$E$38,MATCH($A174,Baarn!$C$4:$C$38,0)),"")&lt;&gt;"",IFERROR(INDEX(Baarn!$E$4:$E$38,MATCH($A174,Baarn!$C$4:$C$38,0)),""),IF(IFERROR(INDEX(Scherpenzeel!$E$4:$E$103,MATCH($A174,Scherpenzeel!$C$4:$C$103,0)),"")&lt;&gt;"",IFERROR(INDEX(Scherpenzeel!$E$4:$E$103,MATCH($A174,Scherpenzeel!$C$4:$C$103,0)),""),IF(IFERROR(INDEX('4'!$E$4:$E$103,MATCH($A174,'4'!$C$4:$C$103,0)),"")&lt;&gt;"",IFERROR(INDEX('4'!$E$4:$E$103,MATCH($A174,'4'!$C$4:$C$103,0)),""),IFERROR(INDEX('5'!$E$4:$E$103,MATCH($A174,'5'!$C$4:$C$103,0)),""))))))</f>
        <v/>
      </c>
      <c r="D174" s="24" t="str">
        <f>IF($A174="","",IFERROR(INDEX(Barneveld!$A$4:$A$36,MATCH($A174,Barneveld!$C$4:$C$36,0)),""))</f>
        <v/>
      </c>
      <c r="E174" s="15">
        <f>IF($A174="",0,IFERROR(INDEX(Barneveld!$H$4:$H$36,MATCH($A174,Barneveld!$C$4:$C$36,0)),0))</f>
        <v>0</v>
      </c>
      <c r="F174" s="24" t="str">
        <f>IF($A174="","",IFERROR(INDEX(Baarn!$A$4:$A$38,MATCH($A174,Baarn!$C$4:$C$38,0)),""))</f>
        <v/>
      </c>
      <c r="G174" s="15">
        <f>IF($A174="",0,IFERROR(INDEX(Baarn!$I$4:$I$38,MATCH($A174,Baarn!$C$4:$C$38,0)),0))</f>
        <v>0</v>
      </c>
      <c r="H174" s="24" t="str">
        <f>IF($A174="","",IFERROR(INDEX(Scherpenzeel!$A$4:$A$103,MATCH($A174,Scherpenzeel!$C$4:$C$103,0)),""))</f>
        <v/>
      </c>
      <c r="I174" s="15">
        <f>IF($A174="",0,IFERROR(INDEX(Scherpenzeel!$I$4:$I$103,MATCH($A174,Scherpenzeel!$C$4:$C$103,0)),0))</f>
        <v>0</v>
      </c>
      <c r="J174" s="24" t="str">
        <f>IF($A174="","",IFERROR(INDEX('4'!$A$4:$A$103,MATCH($A174,'4'!$C$4:$C$103,0)),""))</f>
        <v/>
      </c>
      <c r="K174" s="15">
        <f>IF($A174="",0,IFERROR(INDEX('4'!$I$4:$I$103,MATCH($A174,'4'!$C$4:$C$103,0)),0))</f>
        <v>0</v>
      </c>
      <c r="L174" s="24" t="str">
        <f>IF($A174="","",IFERROR(INDEX('5'!$A$4:$A$103,MATCH($A174,'5'!$C$4:$C$103,0)),""))</f>
        <v/>
      </c>
      <c r="M174" s="15">
        <f>IF($A174="",0,IFERROR(INDEX('5'!$I$4:$I$103,MATCH($A174,'5'!$C$4:$C$103,0)),0))</f>
        <v>0</v>
      </c>
      <c r="N174" s="25" t="str">
        <f>IF($A174="","",E174+G174+I174+K174+M174)</f>
        <v/>
      </c>
      <c r="O174" s="26" t="str">
        <f>IF(OR($A174="",N174="",N174=0),"",RANK(N174,$N$4:$N$203,0))</f>
        <v/>
      </c>
      <c r="AA174">
        <f>'4'!C9</f>
        <v>0</v>
      </c>
      <c r="AB174">
        <f>IF(AA174="",0,IF(COUNTIF($AA$1:AA174,AA174)=1,1,0))</f>
        <v>0</v>
      </c>
      <c r="AC174" t="str">
        <f>IF(AB174=1,COUNTIF($AB$1:AB174,1),"")</f>
        <v/>
      </c>
    </row>
    <row r="175" spans="1:29" x14ac:dyDescent="0.25">
      <c r="A175" s="13" t="str">
        <f>IFERROR(INDEX($AA$1:$AA$368,MATCH(172,$AC$1:$AC$368,0)),"")</f>
        <v/>
      </c>
      <c r="B175" s="13" t="str">
        <f>IF($A175="","",IF(IFERROR(INDEX(Barneveld!$E$4:$E$36,MATCH($A175,Barneveld!$C$4:$C$36,0)),"")&lt;&gt;"",IFERROR(INDEX(Barneveld!$E$4:$E$36,MATCH($A175,Barneveld!$C$4:$C$36,0)),""),IF(IFERROR(INDEX(Baarn!$F$4:$F$38,MATCH($A175,Baarn!$C$4:$C$38,0)),"")&lt;&gt;"",IFERROR(INDEX(Baarn!$F$4:$F$38,MATCH($A175,Baarn!$C$4:$C$38,0)),""),IF(IFERROR(INDEX(Scherpenzeel!$F$4:$F$103,MATCH($A175,Scherpenzeel!$C$4:$C$103,0)),"")&lt;&gt;"",IFERROR(INDEX(Scherpenzeel!$F$4:$F$103,MATCH($A175,Scherpenzeel!$C$4:$C$103,0)),""),IF(IFERROR(INDEX('4'!$F$4:$F$103,MATCH($A175,'4'!$C$4:$C$103,0)),"")&lt;&gt;"",IFERROR(INDEX('4'!$F$4:$F$103,MATCH($A175,'4'!$C$4:$C$103,0)),""),IFERROR(INDEX('5'!$F$4:$F$103,MATCH($A175,'5'!$C$4:$C$103,0)),""))))))</f>
        <v/>
      </c>
      <c r="C175" s="13" t="str">
        <f>IF($A175="","",IF(IFERROR(INDEX(Barneveld!$D$4:$D$36,MATCH($A175,Barneveld!$C$4:$C$36,0)),"")&lt;&gt;"",IFERROR(INDEX(Barneveld!$D$4:$D$36,MATCH($A175,Barneveld!$C$4:$C$36,0)),""),IF(IFERROR(INDEX(Baarn!$E$4:$E$38,MATCH($A175,Baarn!$C$4:$C$38,0)),"")&lt;&gt;"",IFERROR(INDEX(Baarn!$E$4:$E$38,MATCH($A175,Baarn!$C$4:$C$38,0)),""),IF(IFERROR(INDEX(Scherpenzeel!$E$4:$E$103,MATCH($A175,Scherpenzeel!$C$4:$C$103,0)),"")&lt;&gt;"",IFERROR(INDEX(Scherpenzeel!$E$4:$E$103,MATCH($A175,Scherpenzeel!$C$4:$C$103,0)),""),IF(IFERROR(INDEX('4'!$E$4:$E$103,MATCH($A175,'4'!$C$4:$C$103,0)),"")&lt;&gt;"",IFERROR(INDEX('4'!$E$4:$E$103,MATCH($A175,'4'!$C$4:$C$103,0)),""),IFERROR(INDEX('5'!$E$4:$E$103,MATCH($A175,'5'!$C$4:$C$103,0)),""))))))</f>
        <v/>
      </c>
      <c r="D175" s="24" t="str">
        <f>IF($A175="","",IFERROR(INDEX(Barneveld!$A$4:$A$36,MATCH($A175,Barneveld!$C$4:$C$36,0)),""))</f>
        <v/>
      </c>
      <c r="E175" s="15">
        <f>IF($A175="",0,IFERROR(INDEX(Barneveld!$H$4:$H$36,MATCH($A175,Barneveld!$C$4:$C$36,0)),0))</f>
        <v>0</v>
      </c>
      <c r="F175" s="24" t="str">
        <f>IF($A175="","",IFERROR(INDEX(Baarn!$A$4:$A$38,MATCH($A175,Baarn!$C$4:$C$38,0)),""))</f>
        <v/>
      </c>
      <c r="G175" s="15">
        <f>IF($A175="",0,IFERROR(INDEX(Baarn!$I$4:$I$38,MATCH($A175,Baarn!$C$4:$C$38,0)),0))</f>
        <v>0</v>
      </c>
      <c r="H175" s="24" t="str">
        <f>IF($A175="","",IFERROR(INDEX(Scherpenzeel!$A$4:$A$103,MATCH($A175,Scherpenzeel!$C$4:$C$103,0)),""))</f>
        <v/>
      </c>
      <c r="I175" s="15">
        <f>IF($A175="",0,IFERROR(INDEX(Scherpenzeel!$I$4:$I$103,MATCH($A175,Scherpenzeel!$C$4:$C$103,0)),0))</f>
        <v>0</v>
      </c>
      <c r="J175" s="24" t="str">
        <f>IF($A175="","",IFERROR(INDEX('4'!$A$4:$A$103,MATCH($A175,'4'!$C$4:$C$103,0)),""))</f>
        <v/>
      </c>
      <c r="K175" s="15">
        <f>IF($A175="",0,IFERROR(INDEX('4'!$I$4:$I$103,MATCH($A175,'4'!$C$4:$C$103,0)),0))</f>
        <v>0</v>
      </c>
      <c r="L175" s="24" t="str">
        <f>IF($A175="","",IFERROR(INDEX('5'!$A$4:$A$103,MATCH($A175,'5'!$C$4:$C$103,0)),""))</f>
        <v/>
      </c>
      <c r="M175" s="15">
        <f>IF($A175="",0,IFERROR(INDEX('5'!$I$4:$I$103,MATCH($A175,'5'!$C$4:$C$103,0)),0))</f>
        <v>0</v>
      </c>
      <c r="N175" s="25" t="str">
        <f>IF($A175="","",E175+G175+I175+K175+M175)</f>
        <v/>
      </c>
      <c r="O175" s="26" t="str">
        <f>IF(OR($A175="",N175="",N175=0),"",RANK(N175,$N$4:$N$203,0))</f>
        <v/>
      </c>
      <c r="AA175">
        <f>'4'!C10</f>
        <v>0</v>
      </c>
      <c r="AB175">
        <f>IF(AA175="",0,IF(COUNTIF($AA$1:AA175,AA175)=1,1,0))</f>
        <v>0</v>
      </c>
      <c r="AC175" t="str">
        <f>IF(AB175=1,COUNTIF($AB$1:AB175,1),"")</f>
        <v/>
      </c>
    </row>
    <row r="176" spans="1:29" x14ac:dyDescent="0.25">
      <c r="A176" s="13" t="str">
        <f>IFERROR(INDEX($AA$1:$AA$368,MATCH(173,$AC$1:$AC$368,0)),"")</f>
        <v/>
      </c>
      <c r="B176" s="13" t="str">
        <f>IF($A176="","",IF(IFERROR(INDEX(Barneveld!$E$4:$E$36,MATCH($A176,Barneveld!$C$4:$C$36,0)),"")&lt;&gt;"",IFERROR(INDEX(Barneveld!$E$4:$E$36,MATCH($A176,Barneveld!$C$4:$C$36,0)),""),IF(IFERROR(INDEX(Baarn!$F$4:$F$38,MATCH($A176,Baarn!$C$4:$C$38,0)),"")&lt;&gt;"",IFERROR(INDEX(Baarn!$F$4:$F$38,MATCH($A176,Baarn!$C$4:$C$38,0)),""),IF(IFERROR(INDEX(Scherpenzeel!$F$4:$F$103,MATCH($A176,Scherpenzeel!$C$4:$C$103,0)),"")&lt;&gt;"",IFERROR(INDEX(Scherpenzeel!$F$4:$F$103,MATCH($A176,Scherpenzeel!$C$4:$C$103,0)),""),IF(IFERROR(INDEX('4'!$F$4:$F$103,MATCH($A176,'4'!$C$4:$C$103,0)),"")&lt;&gt;"",IFERROR(INDEX('4'!$F$4:$F$103,MATCH($A176,'4'!$C$4:$C$103,0)),""),IFERROR(INDEX('5'!$F$4:$F$103,MATCH($A176,'5'!$C$4:$C$103,0)),""))))))</f>
        <v/>
      </c>
      <c r="C176" s="13" t="str">
        <f>IF($A176="","",IF(IFERROR(INDEX(Barneveld!$D$4:$D$36,MATCH($A176,Barneveld!$C$4:$C$36,0)),"")&lt;&gt;"",IFERROR(INDEX(Barneveld!$D$4:$D$36,MATCH($A176,Barneveld!$C$4:$C$36,0)),""),IF(IFERROR(INDEX(Baarn!$E$4:$E$38,MATCH($A176,Baarn!$C$4:$C$38,0)),"")&lt;&gt;"",IFERROR(INDEX(Baarn!$E$4:$E$38,MATCH($A176,Baarn!$C$4:$C$38,0)),""),IF(IFERROR(INDEX(Scherpenzeel!$E$4:$E$103,MATCH($A176,Scherpenzeel!$C$4:$C$103,0)),"")&lt;&gt;"",IFERROR(INDEX(Scherpenzeel!$E$4:$E$103,MATCH($A176,Scherpenzeel!$C$4:$C$103,0)),""),IF(IFERROR(INDEX('4'!$E$4:$E$103,MATCH($A176,'4'!$C$4:$C$103,0)),"")&lt;&gt;"",IFERROR(INDEX('4'!$E$4:$E$103,MATCH($A176,'4'!$C$4:$C$103,0)),""),IFERROR(INDEX('5'!$E$4:$E$103,MATCH($A176,'5'!$C$4:$C$103,0)),""))))))</f>
        <v/>
      </c>
      <c r="D176" s="24" t="str">
        <f>IF($A176="","",IFERROR(INDEX(Barneveld!$A$4:$A$36,MATCH($A176,Barneveld!$C$4:$C$36,0)),""))</f>
        <v/>
      </c>
      <c r="E176" s="15">
        <f>IF($A176="",0,IFERROR(INDEX(Barneveld!$H$4:$H$36,MATCH($A176,Barneveld!$C$4:$C$36,0)),0))</f>
        <v>0</v>
      </c>
      <c r="F176" s="24" t="str">
        <f>IF($A176="","",IFERROR(INDEX(Baarn!$A$4:$A$38,MATCH($A176,Baarn!$C$4:$C$38,0)),""))</f>
        <v/>
      </c>
      <c r="G176" s="15">
        <f>IF($A176="",0,IFERROR(INDEX(Baarn!$I$4:$I$38,MATCH($A176,Baarn!$C$4:$C$38,0)),0))</f>
        <v>0</v>
      </c>
      <c r="H176" s="24" t="str">
        <f>IF($A176="","",IFERROR(INDEX(Scherpenzeel!$A$4:$A$103,MATCH($A176,Scherpenzeel!$C$4:$C$103,0)),""))</f>
        <v/>
      </c>
      <c r="I176" s="15">
        <f>IF($A176="",0,IFERROR(INDEX(Scherpenzeel!$I$4:$I$103,MATCH($A176,Scherpenzeel!$C$4:$C$103,0)),0))</f>
        <v>0</v>
      </c>
      <c r="J176" s="24" t="str">
        <f>IF($A176="","",IFERROR(INDEX('4'!$A$4:$A$103,MATCH($A176,'4'!$C$4:$C$103,0)),""))</f>
        <v/>
      </c>
      <c r="K176" s="15">
        <f>IF($A176="",0,IFERROR(INDEX('4'!$I$4:$I$103,MATCH($A176,'4'!$C$4:$C$103,0)),0))</f>
        <v>0</v>
      </c>
      <c r="L176" s="24" t="str">
        <f>IF($A176="","",IFERROR(INDEX('5'!$A$4:$A$103,MATCH($A176,'5'!$C$4:$C$103,0)),""))</f>
        <v/>
      </c>
      <c r="M176" s="15">
        <f>IF($A176="",0,IFERROR(INDEX('5'!$I$4:$I$103,MATCH($A176,'5'!$C$4:$C$103,0)),0))</f>
        <v>0</v>
      </c>
      <c r="N176" s="25" t="str">
        <f>IF($A176="","",E176+G176+I176+K176+M176)</f>
        <v/>
      </c>
      <c r="O176" s="26" t="str">
        <f>IF(OR($A176="",N176="",N176=0),"",RANK(N176,$N$4:$N$203,0))</f>
        <v/>
      </c>
      <c r="AA176">
        <f>'4'!C11</f>
        <v>0</v>
      </c>
      <c r="AB176">
        <f>IF(AA176="",0,IF(COUNTIF($AA$1:AA176,AA176)=1,1,0))</f>
        <v>0</v>
      </c>
      <c r="AC176" t="str">
        <f>IF(AB176=1,COUNTIF($AB$1:AB176,1),"")</f>
        <v/>
      </c>
    </row>
    <row r="177" spans="1:29" x14ac:dyDescent="0.25">
      <c r="A177" s="13" t="str">
        <f>IFERROR(INDEX($AA$1:$AA$368,MATCH(174,$AC$1:$AC$368,0)),"")</f>
        <v/>
      </c>
      <c r="B177" s="13" t="str">
        <f>IF($A177="","",IF(IFERROR(INDEX(Barneveld!$E$4:$E$36,MATCH($A177,Barneveld!$C$4:$C$36,0)),"")&lt;&gt;"",IFERROR(INDEX(Barneveld!$E$4:$E$36,MATCH($A177,Barneveld!$C$4:$C$36,0)),""),IF(IFERROR(INDEX(Baarn!$F$4:$F$38,MATCH($A177,Baarn!$C$4:$C$38,0)),"")&lt;&gt;"",IFERROR(INDEX(Baarn!$F$4:$F$38,MATCH($A177,Baarn!$C$4:$C$38,0)),""),IF(IFERROR(INDEX(Scherpenzeel!$F$4:$F$103,MATCH($A177,Scherpenzeel!$C$4:$C$103,0)),"")&lt;&gt;"",IFERROR(INDEX(Scherpenzeel!$F$4:$F$103,MATCH($A177,Scherpenzeel!$C$4:$C$103,0)),""),IF(IFERROR(INDEX('4'!$F$4:$F$103,MATCH($A177,'4'!$C$4:$C$103,0)),"")&lt;&gt;"",IFERROR(INDEX('4'!$F$4:$F$103,MATCH($A177,'4'!$C$4:$C$103,0)),""),IFERROR(INDEX('5'!$F$4:$F$103,MATCH($A177,'5'!$C$4:$C$103,0)),""))))))</f>
        <v/>
      </c>
      <c r="C177" s="13" t="str">
        <f>IF($A177="","",IF(IFERROR(INDEX(Barneveld!$D$4:$D$36,MATCH($A177,Barneveld!$C$4:$C$36,0)),"")&lt;&gt;"",IFERROR(INDEX(Barneveld!$D$4:$D$36,MATCH($A177,Barneveld!$C$4:$C$36,0)),""),IF(IFERROR(INDEX(Baarn!$E$4:$E$38,MATCH($A177,Baarn!$C$4:$C$38,0)),"")&lt;&gt;"",IFERROR(INDEX(Baarn!$E$4:$E$38,MATCH($A177,Baarn!$C$4:$C$38,0)),""),IF(IFERROR(INDEX(Scherpenzeel!$E$4:$E$103,MATCH($A177,Scherpenzeel!$C$4:$C$103,0)),"")&lt;&gt;"",IFERROR(INDEX(Scherpenzeel!$E$4:$E$103,MATCH($A177,Scherpenzeel!$C$4:$C$103,0)),""),IF(IFERROR(INDEX('4'!$E$4:$E$103,MATCH($A177,'4'!$C$4:$C$103,0)),"")&lt;&gt;"",IFERROR(INDEX('4'!$E$4:$E$103,MATCH($A177,'4'!$C$4:$C$103,0)),""),IFERROR(INDEX('5'!$E$4:$E$103,MATCH($A177,'5'!$C$4:$C$103,0)),""))))))</f>
        <v/>
      </c>
      <c r="D177" s="24" t="str">
        <f>IF($A177="","",IFERROR(INDEX(Barneveld!$A$4:$A$36,MATCH($A177,Barneveld!$C$4:$C$36,0)),""))</f>
        <v/>
      </c>
      <c r="E177" s="15">
        <f>IF($A177="",0,IFERROR(INDEX(Barneveld!$H$4:$H$36,MATCH($A177,Barneveld!$C$4:$C$36,0)),0))</f>
        <v>0</v>
      </c>
      <c r="F177" s="24" t="str">
        <f>IF($A177="","",IFERROR(INDEX(Baarn!$A$4:$A$38,MATCH($A177,Baarn!$C$4:$C$38,0)),""))</f>
        <v/>
      </c>
      <c r="G177" s="15">
        <f>IF($A177="",0,IFERROR(INDEX(Baarn!$I$4:$I$38,MATCH($A177,Baarn!$C$4:$C$38,0)),0))</f>
        <v>0</v>
      </c>
      <c r="H177" s="24" t="str">
        <f>IF($A177="","",IFERROR(INDEX(Scherpenzeel!$A$4:$A$103,MATCH($A177,Scherpenzeel!$C$4:$C$103,0)),""))</f>
        <v/>
      </c>
      <c r="I177" s="15">
        <f>IF($A177="",0,IFERROR(INDEX(Scherpenzeel!$I$4:$I$103,MATCH($A177,Scherpenzeel!$C$4:$C$103,0)),0))</f>
        <v>0</v>
      </c>
      <c r="J177" s="24" t="str">
        <f>IF($A177="","",IFERROR(INDEX('4'!$A$4:$A$103,MATCH($A177,'4'!$C$4:$C$103,0)),""))</f>
        <v/>
      </c>
      <c r="K177" s="15">
        <f>IF($A177="",0,IFERROR(INDEX('4'!$I$4:$I$103,MATCH($A177,'4'!$C$4:$C$103,0)),0))</f>
        <v>0</v>
      </c>
      <c r="L177" s="24" t="str">
        <f>IF($A177="","",IFERROR(INDEX('5'!$A$4:$A$103,MATCH($A177,'5'!$C$4:$C$103,0)),""))</f>
        <v/>
      </c>
      <c r="M177" s="15">
        <f>IF($A177="",0,IFERROR(INDEX('5'!$I$4:$I$103,MATCH($A177,'5'!$C$4:$C$103,0)),0))</f>
        <v>0</v>
      </c>
      <c r="N177" s="25" t="str">
        <f>IF($A177="","",E177+G177+I177+K177+M177)</f>
        <v/>
      </c>
      <c r="O177" s="26" t="str">
        <f>IF(OR($A177="",N177="",N177=0),"",RANK(N177,$N$4:$N$203,0))</f>
        <v/>
      </c>
      <c r="AA177">
        <f>'4'!C12</f>
        <v>0</v>
      </c>
      <c r="AB177">
        <f>IF(AA177="",0,IF(COUNTIF($AA$1:AA177,AA177)=1,1,0))</f>
        <v>0</v>
      </c>
      <c r="AC177" t="str">
        <f>IF(AB177=1,COUNTIF($AB$1:AB177,1),"")</f>
        <v/>
      </c>
    </row>
    <row r="178" spans="1:29" x14ac:dyDescent="0.25">
      <c r="A178" s="13" t="str">
        <f>IFERROR(INDEX($AA$1:$AA$368,MATCH(175,$AC$1:$AC$368,0)),"")</f>
        <v/>
      </c>
      <c r="B178" s="13" t="str">
        <f>IF($A178="","",IF(IFERROR(INDEX(Barneveld!$E$4:$E$36,MATCH($A178,Barneveld!$C$4:$C$36,0)),"")&lt;&gt;"",IFERROR(INDEX(Barneveld!$E$4:$E$36,MATCH($A178,Barneveld!$C$4:$C$36,0)),""),IF(IFERROR(INDEX(Baarn!$F$4:$F$38,MATCH($A178,Baarn!$C$4:$C$38,0)),"")&lt;&gt;"",IFERROR(INDEX(Baarn!$F$4:$F$38,MATCH($A178,Baarn!$C$4:$C$38,0)),""),IF(IFERROR(INDEX(Scherpenzeel!$F$4:$F$103,MATCH($A178,Scherpenzeel!$C$4:$C$103,0)),"")&lt;&gt;"",IFERROR(INDEX(Scherpenzeel!$F$4:$F$103,MATCH($A178,Scherpenzeel!$C$4:$C$103,0)),""),IF(IFERROR(INDEX('4'!$F$4:$F$103,MATCH($A178,'4'!$C$4:$C$103,0)),"")&lt;&gt;"",IFERROR(INDEX('4'!$F$4:$F$103,MATCH($A178,'4'!$C$4:$C$103,0)),""),IFERROR(INDEX('5'!$F$4:$F$103,MATCH($A178,'5'!$C$4:$C$103,0)),""))))))</f>
        <v/>
      </c>
      <c r="C178" s="13" t="str">
        <f>IF($A178="","",IF(IFERROR(INDEX(Barneveld!$D$4:$D$36,MATCH($A178,Barneveld!$C$4:$C$36,0)),"")&lt;&gt;"",IFERROR(INDEX(Barneveld!$D$4:$D$36,MATCH($A178,Barneveld!$C$4:$C$36,0)),""),IF(IFERROR(INDEX(Baarn!$E$4:$E$38,MATCH($A178,Baarn!$C$4:$C$38,0)),"")&lt;&gt;"",IFERROR(INDEX(Baarn!$E$4:$E$38,MATCH($A178,Baarn!$C$4:$C$38,0)),""),IF(IFERROR(INDEX(Scherpenzeel!$E$4:$E$103,MATCH($A178,Scherpenzeel!$C$4:$C$103,0)),"")&lt;&gt;"",IFERROR(INDEX(Scherpenzeel!$E$4:$E$103,MATCH($A178,Scherpenzeel!$C$4:$C$103,0)),""),IF(IFERROR(INDEX('4'!$E$4:$E$103,MATCH($A178,'4'!$C$4:$C$103,0)),"")&lt;&gt;"",IFERROR(INDEX('4'!$E$4:$E$103,MATCH($A178,'4'!$C$4:$C$103,0)),""),IFERROR(INDEX('5'!$E$4:$E$103,MATCH($A178,'5'!$C$4:$C$103,0)),""))))))</f>
        <v/>
      </c>
      <c r="D178" s="24" t="str">
        <f>IF($A178="","",IFERROR(INDEX(Barneveld!$A$4:$A$36,MATCH($A178,Barneveld!$C$4:$C$36,0)),""))</f>
        <v/>
      </c>
      <c r="E178" s="15">
        <f>IF($A178="",0,IFERROR(INDEX(Barneveld!$H$4:$H$36,MATCH($A178,Barneveld!$C$4:$C$36,0)),0))</f>
        <v>0</v>
      </c>
      <c r="F178" s="24" t="str">
        <f>IF($A178="","",IFERROR(INDEX(Baarn!$A$4:$A$38,MATCH($A178,Baarn!$C$4:$C$38,0)),""))</f>
        <v/>
      </c>
      <c r="G178" s="15">
        <f>IF($A178="",0,IFERROR(INDEX(Baarn!$I$4:$I$38,MATCH($A178,Baarn!$C$4:$C$38,0)),0))</f>
        <v>0</v>
      </c>
      <c r="H178" s="24" t="str">
        <f>IF($A178="","",IFERROR(INDEX(Scherpenzeel!$A$4:$A$103,MATCH($A178,Scherpenzeel!$C$4:$C$103,0)),""))</f>
        <v/>
      </c>
      <c r="I178" s="15">
        <f>IF($A178="",0,IFERROR(INDEX(Scherpenzeel!$I$4:$I$103,MATCH($A178,Scherpenzeel!$C$4:$C$103,0)),0))</f>
        <v>0</v>
      </c>
      <c r="J178" s="24" t="str">
        <f>IF($A178="","",IFERROR(INDEX('4'!$A$4:$A$103,MATCH($A178,'4'!$C$4:$C$103,0)),""))</f>
        <v/>
      </c>
      <c r="K178" s="15">
        <f>IF($A178="",0,IFERROR(INDEX('4'!$I$4:$I$103,MATCH($A178,'4'!$C$4:$C$103,0)),0))</f>
        <v>0</v>
      </c>
      <c r="L178" s="24" t="str">
        <f>IF($A178="","",IFERROR(INDEX('5'!$A$4:$A$103,MATCH($A178,'5'!$C$4:$C$103,0)),""))</f>
        <v/>
      </c>
      <c r="M178" s="15">
        <f>IF($A178="",0,IFERROR(INDEX('5'!$I$4:$I$103,MATCH($A178,'5'!$C$4:$C$103,0)),0))</f>
        <v>0</v>
      </c>
      <c r="N178" s="25" t="str">
        <f>IF($A178="","",E178+G178+I178+K178+M178)</f>
        <v/>
      </c>
      <c r="O178" s="26" t="str">
        <f>IF(OR($A178="",N178="",N178=0),"",RANK(N178,$N$4:$N$203,0))</f>
        <v/>
      </c>
      <c r="AA178">
        <f>'4'!C13</f>
        <v>0</v>
      </c>
      <c r="AB178">
        <f>IF(AA178="",0,IF(COUNTIF($AA$1:AA178,AA178)=1,1,0))</f>
        <v>0</v>
      </c>
      <c r="AC178" t="str">
        <f>IF(AB178=1,COUNTIF($AB$1:AB178,1),"")</f>
        <v/>
      </c>
    </row>
    <row r="179" spans="1:29" x14ac:dyDescent="0.25">
      <c r="A179" s="13" t="str">
        <f>IFERROR(INDEX($AA$1:$AA$368,MATCH(176,$AC$1:$AC$368,0)),"")</f>
        <v/>
      </c>
      <c r="B179" s="13" t="str">
        <f>IF($A179="","",IF(IFERROR(INDEX(Barneveld!$E$4:$E$36,MATCH($A179,Barneveld!$C$4:$C$36,0)),"")&lt;&gt;"",IFERROR(INDEX(Barneveld!$E$4:$E$36,MATCH($A179,Barneveld!$C$4:$C$36,0)),""),IF(IFERROR(INDEX(Baarn!$F$4:$F$38,MATCH($A179,Baarn!$C$4:$C$38,0)),"")&lt;&gt;"",IFERROR(INDEX(Baarn!$F$4:$F$38,MATCH($A179,Baarn!$C$4:$C$38,0)),""),IF(IFERROR(INDEX(Scherpenzeel!$F$4:$F$103,MATCH($A179,Scherpenzeel!$C$4:$C$103,0)),"")&lt;&gt;"",IFERROR(INDEX(Scherpenzeel!$F$4:$F$103,MATCH($A179,Scherpenzeel!$C$4:$C$103,0)),""),IF(IFERROR(INDEX('4'!$F$4:$F$103,MATCH($A179,'4'!$C$4:$C$103,0)),"")&lt;&gt;"",IFERROR(INDEX('4'!$F$4:$F$103,MATCH($A179,'4'!$C$4:$C$103,0)),""),IFERROR(INDEX('5'!$F$4:$F$103,MATCH($A179,'5'!$C$4:$C$103,0)),""))))))</f>
        <v/>
      </c>
      <c r="C179" s="13" t="str">
        <f>IF($A179="","",IF(IFERROR(INDEX(Barneveld!$D$4:$D$36,MATCH($A179,Barneveld!$C$4:$C$36,0)),"")&lt;&gt;"",IFERROR(INDEX(Barneveld!$D$4:$D$36,MATCH($A179,Barneveld!$C$4:$C$36,0)),""),IF(IFERROR(INDEX(Baarn!$E$4:$E$38,MATCH($A179,Baarn!$C$4:$C$38,0)),"")&lt;&gt;"",IFERROR(INDEX(Baarn!$E$4:$E$38,MATCH($A179,Baarn!$C$4:$C$38,0)),""),IF(IFERROR(INDEX(Scherpenzeel!$E$4:$E$103,MATCH($A179,Scherpenzeel!$C$4:$C$103,0)),"")&lt;&gt;"",IFERROR(INDEX(Scherpenzeel!$E$4:$E$103,MATCH($A179,Scherpenzeel!$C$4:$C$103,0)),""),IF(IFERROR(INDEX('4'!$E$4:$E$103,MATCH($A179,'4'!$C$4:$C$103,0)),"")&lt;&gt;"",IFERROR(INDEX('4'!$E$4:$E$103,MATCH($A179,'4'!$C$4:$C$103,0)),""),IFERROR(INDEX('5'!$E$4:$E$103,MATCH($A179,'5'!$C$4:$C$103,0)),""))))))</f>
        <v/>
      </c>
      <c r="D179" s="24" t="str">
        <f>IF($A179="","",IFERROR(INDEX(Barneveld!$A$4:$A$36,MATCH($A179,Barneveld!$C$4:$C$36,0)),""))</f>
        <v/>
      </c>
      <c r="E179" s="15">
        <f>IF($A179="",0,IFERROR(INDEX(Barneveld!$H$4:$H$36,MATCH($A179,Barneveld!$C$4:$C$36,0)),0))</f>
        <v>0</v>
      </c>
      <c r="F179" s="24" t="str">
        <f>IF($A179="","",IFERROR(INDEX(Baarn!$A$4:$A$38,MATCH($A179,Baarn!$C$4:$C$38,0)),""))</f>
        <v/>
      </c>
      <c r="G179" s="15">
        <f>IF($A179="",0,IFERROR(INDEX(Baarn!$I$4:$I$38,MATCH($A179,Baarn!$C$4:$C$38,0)),0))</f>
        <v>0</v>
      </c>
      <c r="H179" s="24" t="str">
        <f>IF($A179="","",IFERROR(INDEX(Scherpenzeel!$A$4:$A$103,MATCH($A179,Scherpenzeel!$C$4:$C$103,0)),""))</f>
        <v/>
      </c>
      <c r="I179" s="15">
        <f>IF($A179="",0,IFERROR(INDEX(Scherpenzeel!$I$4:$I$103,MATCH($A179,Scherpenzeel!$C$4:$C$103,0)),0))</f>
        <v>0</v>
      </c>
      <c r="J179" s="24" t="str">
        <f>IF($A179="","",IFERROR(INDEX('4'!$A$4:$A$103,MATCH($A179,'4'!$C$4:$C$103,0)),""))</f>
        <v/>
      </c>
      <c r="K179" s="15">
        <f>IF($A179="",0,IFERROR(INDEX('4'!$I$4:$I$103,MATCH($A179,'4'!$C$4:$C$103,0)),0))</f>
        <v>0</v>
      </c>
      <c r="L179" s="24" t="str">
        <f>IF($A179="","",IFERROR(INDEX('5'!$A$4:$A$103,MATCH($A179,'5'!$C$4:$C$103,0)),""))</f>
        <v/>
      </c>
      <c r="M179" s="15">
        <f>IF($A179="",0,IFERROR(INDEX('5'!$I$4:$I$103,MATCH($A179,'5'!$C$4:$C$103,0)),0))</f>
        <v>0</v>
      </c>
      <c r="N179" s="25" t="str">
        <f>IF($A179="","",E179+G179+I179+K179+M179)</f>
        <v/>
      </c>
      <c r="O179" s="26" t="str">
        <f>IF(OR($A179="",N179="",N179=0),"",RANK(N179,$N$4:$N$203,0))</f>
        <v/>
      </c>
      <c r="AA179">
        <f>'4'!C14</f>
        <v>0</v>
      </c>
      <c r="AB179">
        <f>IF(AA179="",0,IF(COUNTIF($AA$1:AA179,AA179)=1,1,0))</f>
        <v>0</v>
      </c>
      <c r="AC179" t="str">
        <f>IF(AB179=1,COUNTIF($AB$1:AB179,1),"")</f>
        <v/>
      </c>
    </row>
    <row r="180" spans="1:29" x14ac:dyDescent="0.25">
      <c r="A180" s="13" t="str">
        <f>IFERROR(INDEX($AA$1:$AA$368,MATCH(177,$AC$1:$AC$368,0)),"")</f>
        <v/>
      </c>
      <c r="B180" s="13" t="str">
        <f>IF($A180="","",IF(IFERROR(INDEX(Barneveld!$E$4:$E$36,MATCH($A180,Barneveld!$C$4:$C$36,0)),"")&lt;&gt;"",IFERROR(INDEX(Barneveld!$E$4:$E$36,MATCH($A180,Barneveld!$C$4:$C$36,0)),""),IF(IFERROR(INDEX(Baarn!$F$4:$F$38,MATCH($A180,Baarn!$C$4:$C$38,0)),"")&lt;&gt;"",IFERROR(INDEX(Baarn!$F$4:$F$38,MATCH($A180,Baarn!$C$4:$C$38,0)),""),IF(IFERROR(INDEX(Scherpenzeel!$F$4:$F$103,MATCH($A180,Scherpenzeel!$C$4:$C$103,0)),"")&lt;&gt;"",IFERROR(INDEX(Scherpenzeel!$F$4:$F$103,MATCH($A180,Scherpenzeel!$C$4:$C$103,0)),""),IF(IFERROR(INDEX('4'!$F$4:$F$103,MATCH($A180,'4'!$C$4:$C$103,0)),"")&lt;&gt;"",IFERROR(INDEX('4'!$F$4:$F$103,MATCH($A180,'4'!$C$4:$C$103,0)),""),IFERROR(INDEX('5'!$F$4:$F$103,MATCH($A180,'5'!$C$4:$C$103,0)),""))))))</f>
        <v/>
      </c>
      <c r="C180" s="13" t="str">
        <f>IF($A180="","",IF(IFERROR(INDEX(Barneveld!$D$4:$D$36,MATCH($A180,Barneveld!$C$4:$C$36,0)),"")&lt;&gt;"",IFERROR(INDEX(Barneveld!$D$4:$D$36,MATCH($A180,Barneveld!$C$4:$C$36,0)),""),IF(IFERROR(INDEX(Baarn!$E$4:$E$38,MATCH($A180,Baarn!$C$4:$C$38,0)),"")&lt;&gt;"",IFERROR(INDEX(Baarn!$E$4:$E$38,MATCH($A180,Baarn!$C$4:$C$38,0)),""),IF(IFERROR(INDEX(Scherpenzeel!$E$4:$E$103,MATCH($A180,Scherpenzeel!$C$4:$C$103,0)),"")&lt;&gt;"",IFERROR(INDEX(Scherpenzeel!$E$4:$E$103,MATCH($A180,Scherpenzeel!$C$4:$C$103,0)),""),IF(IFERROR(INDEX('4'!$E$4:$E$103,MATCH($A180,'4'!$C$4:$C$103,0)),"")&lt;&gt;"",IFERROR(INDEX('4'!$E$4:$E$103,MATCH($A180,'4'!$C$4:$C$103,0)),""),IFERROR(INDEX('5'!$E$4:$E$103,MATCH($A180,'5'!$C$4:$C$103,0)),""))))))</f>
        <v/>
      </c>
      <c r="D180" s="24" t="str">
        <f>IF($A180="","",IFERROR(INDEX(Barneveld!$A$4:$A$36,MATCH($A180,Barneveld!$C$4:$C$36,0)),""))</f>
        <v/>
      </c>
      <c r="E180" s="15">
        <f>IF($A180="",0,IFERROR(INDEX(Barneveld!$H$4:$H$36,MATCH($A180,Barneveld!$C$4:$C$36,0)),0))</f>
        <v>0</v>
      </c>
      <c r="F180" s="24" t="str">
        <f>IF($A180="","",IFERROR(INDEX(Baarn!$A$4:$A$38,MATCH($A180,Baarn!$C$4:$C$38,0)),""))</f>
        <v/>
      </c>
      <c r="G180" s="15">
        <f>IF($A180="",0,IFERROR(INDEX(Baarn!$I$4:$I$38,MATCH($A180,Baarn!$C$4:$C$38,0)),0))</f>
        <v>0</v>
      </c>
      <c r="H180" s="24" t="str">
        <f>IF($A180="","",IFERROR(INDEX(Scherpenzeel!$A$4:$A$103,MATCH($A180,Scherpenzeel!$C$4:$C$103,0)),""))</f>
        <v/>
      </c>
      <c r="I180" s="15">
        <f>IF($A180="",0,IFERROR(INDEX(Scherpenzeel!$I$4:$I$103,MATCH($A180,Scherpenzeel!$C$4:$C$103,0)),0))</f>
        <v>0</v>
      </c>
      <c r="J180" s="24" t="str">
        <f>IF($A180="","",IFERROR(INDEX('4'!$A$4:$A$103,MATCH($A180,'4'!$C$4:$C$103,0)),""))</f>
        <v/>
      </c>
      <c r="K180" s="15">
        <f>IF($A180="",0,IFERROR(INDEX('4'!$I$4:$I$103,MATCH($A180,'4'!$C$4:$C$103,0)),0))</f>
        <v>0</v>
      </c>
      <c r="L180" s="24" t="str">
        <f>IF($A180="","",IFERROR(INDEX('5'!$A$4:$A$103,MATCH($A180,'5'!$C$4:$C$103,0)),""))</f>
        <v/>
      </c>
      <c r="M180" s="15">
        <f>IF($A180="",0,IFERROR(INDEX('5'!$I$4:$I$103,MATCH($A180,'5'!$C$4:$C$103,0)),0))</f>
        <v>0</v>
      </c>
      <c r="N180" s="25" t="str">
        <f>IF($A180="","",E180+G180+I180+K180+M180)</f>
        <v/>
      </c>
      <c r="O180" s="26" t="str">
        <f>IF(OR($A180="",N180="",N180=0),"",RANK(N180,$N$4:$N$203,0))</f>
        <v/>
      </c>
      <c r="AA180">
        <f>'4'!C15</f>
        <v>0</v>
      </c>
      <c r="AB180">
        <f>IF(AA180="",0,IF(COUNTIF($AA$1:AA180,AA180)=1,1,0))</f>
        <v>0</v>
      </c>
      <c r="AC180" t="str">
        <f>IF(AB180=1,COUNTIF($AB$1:AB180,1),"")</f>
        <v/>
      </c>
    </row>
    <row r="181" spans="1:29" x14ac:dyDescent="0.25">
      <c r="A181" s="13" t="str">
        <f>IFERROR(INDEX($AA$1:$AA$368,MATCH(178,$AC$1:$AC$368,0)),"")</f>
        <v/>
      </c>
      <c r="B181" s="13" t="str">
        <f>IF($A181="","",IF(IFERROR(INDEX(Barneveld!$E$4:$E$36,MATCH($A181,Barneveld!$C$4:$C$36,0)),"")&lt;&gt;"",IFERROR(INDEX(Barneveld!$E$4:$E$36,MATCH($A181,Barneveld!$C$4:$C$36,0)),""),IF(IFERROR(INDEX(Baarn!$F$4:$F$38,MATCH($A181,Baarn!$C$4:$C$38,0)),"")&lt;&gt;"",IFERROR(INDEX(Baarn!$F$4:$F$38,MATCH($A181,Baarn!$C$4:$C$38,0)),""),IF(IFERROR(INDEX(Scherpenzeel!$F$4:$F$103,MATCH($A181,Scherpenzeel!$C$4:$C$103,0)),"")&lt;&gt;"",IFERROR(INDEX(Scherpenzeel!$F$4:$F$103,MATCH($A181,Scherpenzeel!$C$4:$C$103,0)),""),IF(IFERROR(INDEX('4'!$F$4:$F$103,MATCH($A181,'4'!$C$4:$C$103,0)),"")&lt;&gt;"",IFERROR(INDEX('4'!$F$4:$F$103,MATCH($A181,'4'!$C$4:$C$103,0)),""),IFERROR(INDEX('5'!$F$4:$F$103,MATCH($A181,'5'!$C$4:$C$103,0)),""))))))</f>
        <v/>
      </c>
      <c r="C181" s="13" t="str">
        <f>IF($A181="","",IF(IFERROR(INDEX(Barneveld!$D$4:$D$36,MATCH($A181,Barneveld!$C$4:$C$36,0)),"")&lt;&gt;"",IFERROR(INDEX(Barneveld!$D$4:$D$36,MATCH($A181,Barneveld!$C$4:$C$36,0)),""),IF(IFERROR(INDEX(Baarn!$E$4:$E$38,MATCH($A181,Baarn!$C$4:$C$38,0)),"")&lt;&gt;"",IFERROR(INDEX(Baarn!$E$4:$E$38,MATCH($A181,Baarn!$C$4:$C$38,0)),""),IF(IFERROR(INDEX(Scherpenzeel!$E$4:$E$103,MATCH($A181,Scherpenzeel!$C$4:$C$103,0)),"")&lt;&gt;"",IFERROR(INDEX(Scherpenzeel!$E$4:$E$103,MATCH($A181,Scherpenzeel!$C$4:$C$103,0)),""),IF(IFERROR(INDEX('4'!$E$4:$E$103,MATCH($A181,'4'!$C$4:$C$103,0)),"")&lt;&gt;"",IFERROR(INDEX('4'!$E$4:$E$103,MATCH($A181,'4'!$C$4:$C$103,0)),""),IFERROR(INDEX('5'!$E$4:$E$103,MATCH($A181,'5'!$C$4:$C$103,0)),""))))))</f>
        <v/>
      </c>
      <c r="D181" s="24" t="str">
        <f>IF($A181="","",IFERROR(INDEX(Barneveld!$A$4:$A$36,MATCH($A181,Barneveld!$C$4:$C$36,0)),""))</f>
        <v/>
      </c>
      <c r="E181" s="15">
        <f>IF($A181="",0,IFERROR(INDEX(Barneveld!$H$4:$H$36,MATCH($A181,Barneveld!$C$4:$C$36,0)),0))</f>
        <v>0</v>
      </c>
      <c r="F181" s="24" t="str">
        <f>IF($A181="","",IFERROR(INDEX(Baarn!$A$4:$A$38,MATCH($A181,Baarn!$C$4:$C$38,0)),""))</f>
        <v/>
      </c>
      <c r="G181" s="15">
        <f>IF($A181="",0,IFERROR(INDEX(Baarn!$I$4:$I$38,MATCH($A181,Baarn!$C$4:$C$38,0)),0))</f>
        <v>0</v>
      </c>
      <c r="H181" s="24" t="str">
        <f>IF($A181="","",IFERROR(INDEX(Scherpenzeel!$A$4:$A$103,MATCH($A181,Scherpenzeel!$C$4:$C$103,0)),""))</f>
        <v/>
      </c>
      <c r="I181" s="15">
        <f>IF($A181="",0,IFERROR(INDEX(Scherpenzeel!$I$4:$I$103,MATCH($A181,Scherpenzeel!$C$4:$C$103,0)),0))</f>
        <v>0</v>
      </c>
      <c r="J181" s="24" t="str">
        <f>IF($A181="","",IFERROR(INDEX('4'!$A$4:$A$103,MATCH($A181,'4'!$C$4:$C$103,0)),""))</f>
        <v/>
      </c>
      <c r="K181" s="15">
        <f>IF($A181="",0,IFERROR(INDEX('4'!$I$4:$I$103,MATCH($A181,'4'!$C$4:$C$103,0)),0))</f>
        <v>0</v>
      </c>
      <c r="L181" s="24" t="str">
        <f>IF($A181="","",IFERROR(INDEX('5'!$A$4:$A$103,MATCH($A181,'5'!$C$4:$C$103,0)),""))</f>
        <v/>
      </c>
      <c r="M181" s="15">
        <f>IF($A181="",0,IFERROR(INDEX('5'!$I$4:$I$103,MATCH($A181,'5'!$C$4:$C$103,0)),0))</f>
        <v>0</v>
      </c>
      <c r="N181" s="25" t="str">
        <f>IF($A181="","",E181+G181+I181+K181+M181)</f>
        <v/>
      </c>
      <c r="O181" s="26" t="str">
        <f>IF(OR($A181="",N181="",N181=0),"",RANK(N181,$N$4:$N$203,0))</f>
        <v/>
      </c>
      <c r="AA181">
        <f>'4'!C16</f>
        <v>0</v>
      </c>
      <c r="AB181">
        <f>IF(AA181="",0,IF(COUNTIF($AA$1:AA181,AA181)=1,1,0))</f>
        <v>0</v>
      </c>
      <c r="AC181" t="str">
        <f>IF(AB181=1,COUNTIF($AB$1:AB181,1),"")</f>
        <v/>
      </c>
    </row>
    <row r="182" spans="1:29" x14ac:dyDescent="0.25">
      <c r="A182" s="13" t="str">
        <f>IFERROR(INDEX($AA$1:$AA$368,MATCH(179,$AC$1:$AC$368,0)),"")</f>
        <v/>
      </c>
      <c r="B182" s="13" t="str">
        <f>IF($A182="","",IF(IFERROR(INDEX(Barneveld!$E$4:$E$36,MATCH($A182,Barneveld!$C$4:$C$36,0)),"")&lt;&gt;"",IFERROR(INDEX(Barneveld!$E$4:$E$36,MATCH($A182,Barneveld!$C$4:$C$36,0)),""),IF(IFERROR(INDEX(Baarn!$F$4:$F$38,MATCH($A182,Baarn!$C$4:$C$38,0)),"")&lt;&gt;"",IFERROR(INDEX(Baarn!$F$4:$F$38,MATCH($A182,Baarn!$C$4:$C$38,0)),""),IF(IFERROR(INDEX(Scherpenzeel!$F$4:$F$103,MATCH($A182,Scherpenzeel!$C$4:$C$103,0)),"")&lt;&gt;"",IFERROR(INDEX(Scherpenzeel!$F$4:$F$103,MATCH($A182,Scherpenzeel!$C$4:$C$103,0)),""),IF(IFERROR(INDEX('4'!$F$4:$F$103,MATCH($A182,'4'!$C$4:$C$103,0)),"")&lt;&gt;"",IFERROR(INDEX('4'!$F$4:$F$103,MATCH($A182,'4'!$C$4:$C$103,0)),""),IFERROR(INDEX('5'!$F$4:$F$103,MATCH($A182,'5'!$C$4:$C$103,0)),""))))))</f>
        <v/>
      </c>
      <c r="C182" s="13" t="str">
        <f>IF($A182="","",IF(IFERROR(INDEX(Barneveld!$D$4:$D$36,MATCH($A182,Barneveld!$C$4:$C$36,0)),"")&lt;&gt;"",IFERROR(INDEX(Barneveld!$D$4:$D$36,MATCH($A182,Barneveld!$C$4:$C$36,0)),""),IF(IFERROR(INDEX(Baarn!$E$4:$E$38,MATCH($A182,Baarn!$C$4:$C$38,0)),"")&lt;&gt;"",IFERROR(INDEX(Baarn!$E$4:$E$38,MATCH($A182,Baarn!$C$4:$C$38,0)),""),IF(IFERROR(INDEX(Scherpenzeel!$E$4:$E$103,MATCH($A182,Scherpenzeel!$C$4:$C$103,0)),"")&lt;&gt;"",IFERROR(INDEX(Scherpenzeel!$E$4:$E$103,MATCH($A182,Scherpenzeel!$C$4:$C$103,0)),""),IF(IFERROR(INDEX('4'!$E$4:$E$103,MATCH($A182,'4'!$C$4:$C$103,0)),"")&lt;&gt;"",IFERROR(INDEX('4'!$E$4:$E$103,MATCH($A182,'4'!$C$4:$C$103,0)),""),IFERROR(INDEX('5'!$E$4:$E$103,MATCH($A182,'5'!$C$4:$C$103,0)),""))))))</f>
        <v/>
      </c>
      <c r="D182" s="24" t="str">
        <f>IF($A182="","",IFERROR(INDEX(Barneveld!$A$4:$A$36,MATCH($A182,Barneveld!$C$4:$C$36,0)),""))</f>
        <v/>
      </c>
      <c r="E182" s="15">
        <f>IF($A182="",0,IFERROR(INDEX(Barneveld!$H$4:$H$36,MATCH($A182,Barneveld!$C$4:$C$36,0)),0))</f>
        <v>0</v>
      </c>
      <c r="F182" s="24" t="str">
        <f>IF($A182="","",IFERROR(INDEX(Baarn!$A$4:$A$38,MATCH($A182,Baarn!$C$4:$C$38,0)),""))</f>
        <v/>
      </c>
      <c r="G182" s="15">
        <f>IF($A182="",0,IFERROR(INDEX(Baarn!$I$4:$I$38,MATCH($A182,Baarn!$C$4:$C$38,0)),0))</f>
        <v>0</v>
      </c>
      <c r="H182" s="24" t="str">
        <f>IF($A182="","",IFERROR(INDEX(Scherpenzeel!$A$4:$A$103,MATCH($A182,Scherpenzeel!$C$4:$C$103,0)),""))</f>
        <v/>
      </c>
      <c r="I182" s="15">
        <f>IF($A182="",0,IFERROR(INDEX(Scherpenzeel!$I$4:$I$103,MATCH($A182,Scherpenzeel!$C$4:$C$103,0)),0))</f>
        <v>0</v>
      </c>
      <c r="J182" s="24" t="str">
        <f>IF($A182="","",IFERROR(INDEX('4'!$A$4:$A$103,MATCH($A182,'4'!$C$4:$C$103,0)),""))</f>
        <v/>
      </c>
      <c r="K182" s="15">
        <f>IF($A182="",0,IFERROR(INDEX('4'!$I$4:$I$103,MATCH($A182,'4'!$C$4:$C$103,0)),0))</f>
        <v>0</v>
      </c>
      <c r="L182" s="24" t="str">
        <f>IF($A182="","",IFERROR(INDEX('5'!$A$4:$A$103,MATCH($A182,'5'!$C$4:$C$103,0)),""))</f>
        <v/>
      </c>
      <c r="M182" s="15">
        <f>IF($A182="",0,IFERROR(INDEX('5'!$I$4:$I$103,MATCH($A182,'5'!$C$4:$C$103,0)),0))</f>
        <v>0</v>
      </c>
      <c r="N182" s="25" t="str">
        <f>IF($A182="","",E182+G182+I182+K182+M182)</f>
        <v/>
      </c>
      <c r="O182" s="26" t="str">
        <f>IF(OR($A182="",N182="",N182=0),"",RANK(N182,$N$4:$N$203,0))</f>
        <v/>
      </c>
      <c r="AA182">
        <f>'4'!C17</f>
        <v>0</v>
      </c>
      <c r="AB182">
        <f>IF(AA182="",0,IF(COUNTIF($AA$1:AA182,AA182)=1,1,0))</f>
        <v>0</v>
      </c>
      <c r="AC182" t="str">
        <f>IF(AB182=1,COUNTIF($AB$1:AB182,1),"")</f>
        <v/>
      </c>
    </row>
    <row r="183" spans="1:29" x14ac:dyDescent="0.25">
      <c r="A183" s="13" t="str">
        <f>IFERROR(INDEX($AA$1:$AA$368,MATCH(180,$AC$1:$AC$368,0)),"")</f>
        <v/>
      </c>
      <c r="B183" s="13" t="str">
        <f>IF($A183="","",IF(IFERROR(INDEX(Barneveld!$E$4:$E$36,MATCH($A183,Barneveld!$C$4:$C$36,0)),"")&lt;&gt;"",IFERROR(INDEX(Barneveld!$E$4:$E$36,MATCH($A183,Barneveld!$C$4:$C$36,0)),""),IF(IFERROR(INDEX(Baarn!$F$4:$F$38,MATCH($A183,Baarn!$C$4:$C$38,0)),"")&lt;&gt;"",IFERROR(INDEX(Baarn!$F$4:$F$38,MATCH($A183,Baarn!$C$4:$C$38,0)),""),IF(IFERROR(INDEX(Scherpenzeel!$F$4:$F$103,MATCH($A183,Scherpenzeel!$C$4:$C$103,0)),"")&lt;&gt;"",IFERROR(INDEX(Scherpenzeel!$F$4:$F$103,MATCH($A183,Scherpenzeel!$C$4:$C$103,0)),""),IF(IFERROR(INDEX('4'!$F$4:$F$103,MATCH($A183,'4'!$C$4:$C$103,0)),"")&lt;&gt;"",IFERROR(INDEX('4'!$F$4:$F$103,MATCH($A183,'4'!$C$4:$C$103,0)),""),IFERROR(INDEX('5'!$F$4:$F$103,MATCH($A183,'5'!$C$4:$C$103,0)),""))))))</f>
        <v/>
      </c>
      <c r="C183" s="13" t="str">
        <f>IF($A183="","",IF(IFERROR(INDEX(Barneveld!$D$4:$D$36,MATCH($A183,Barneveld!$C$4:$C$36,0)),"")&lt;&gt;"",IFERROR(INDEX(Barneveld!$D$4:$D$36,MATCH($A183,Barneveld!$C$4:$C$36,0)),""),IF(IFERROR(INDEX(Baarn!$E$4:$E$38,MATCH($A183,Baarn!$C$4:$C$38,0)),"")&lt;&gt;"",IFERROR(INDEX(Baarn!$E$4:$E$38,MATCH($A183,Baarn!$C$4:$C$38,0)),""),IF(IFERROR(INDEX(Scherpenzeel!$E$4:$E$103,MATCH($A183,Scherpenzeel!$C$4:$C$103,0)),"")&lt;&gt;"",IFERROR(INDEX(Scherpenzeel!$E$4:$E$103,MATCH($A183,Scherpenzeel!$C$4:$C$103,0)),""),IF(IFERROR(INDEX('4'!$E$4:$E$103,MATCH($A183,'4'!$C$4:$C$103,0)),"")&lt;&gt;"",IFERROR(INDEX('4'!$E$4:$E$103,MATCH($A183,'4'!$C$4:$C$103,0)),""),IFERROR(INDEX('5'!$E$4:$E$103,MATCH($A183,'5'!$C$4:$C$103,0)),""))))))</f>
        <v/>
      </c>
      <c r="D183" s="24" t="str">
        <f>IF($A183="","",IFERROR(INDEX(Barneveld!$A$4:$A$36,MATCH($A183,Barneveld!$C$4:$C$36,0)),""))</f>
        <v/>
      </c>
      <c r="E183" s="15">
        <f>IF($A183="",0,IFERROR(INDEX(Barneveld!$H$4:$H$36,MATCH($A183,Barneveld!$C$4:$C$36,0)),0))</f>
        <v>0</v>
      </c>
      <c r="F183" s="24" t="str">
        <f>IF($A183="","",IFERROR(INDEX(Baarn!$A$4:$A$38,MATCH($A183,Baarn!$C$4:$C$38,0)),""))</f>
        <v/>
      </c>
      <c r="G183" s="15">
        <f>IF($A183="",0,IFERROR(INDEX(Baarn!$I$4:$I$38,MATCH($A183,Baarn!$C$4:$C$38,0)),0))</f>
        <v>0</v>
      </c>
      <c r="H183" s="24" t="str">
        <f>IF($A183="","",IFERROR(INDEX(Scherpenzeel!$A$4:$A$103,MATCH($A183,Scherpenzeel!$C$4:$C$103,0)),""))</f>
        <v/>
      </c>
      <c r="I183" s="15">
        <f>IF($A183="",0,IFERROR(INDEX(Scherpenzeel!$I$4:$I$103,MATCH($A183,Scherpenzeel!$C$4:$C$103,0)),0))</f>
        <v>0</v>
      </c>
      <c r="J183" s="24" t="str">
        <f>IF($A183="","",IFERROR(INDEX('4'!$A$4:$A$103,MATCH($A183,'4'!$C$4:$C$103,0)),""))</f>
        <v/>
      </c>
      <c r="K183" s="15">
        <f>IF($A183="",0,IFERROR(INDEX('4'!$I$4:$I$103,MATCH($A183,'4'!$C$4:$C$103,0)),0))</f>
        <v>0</v>
      </c>
      <c r="L183" s="24" t="str">
        <f>IF($A183="","",IFERROR(INDEX('5'!$A$4:$A$103,MATCH($A183,'5'!$C$4:$C$103,0)),""))</f>
        <v/>
      </c>
      <c r="M183" s="15">
        <f>IF($A183="",0,IFERROR(INDEX('5'!$I$4:$I$103,MATCH($A183,'5'!$C$4:$C$103,0)),0))</f>
        <v>0</v>
      </c>
      <c r="N183" s="25" t="str">
        <f>IF($A183="","",E183+G183+I183+K183+M183)</f>
        <v/>
      </c>
      <c r="O183" s="26" t="str">
        <f>IF(OR($A183="",N183="",N183=0),"",RANK(N183,$N$4:$N$203,0))</f>
        <v/>
      </c>
      <c r="AA183">
        <f>'4'!C18</f>
        <v>0</v>
      </c>
      <c r="AB183">
        <f>IF(AA183="",0,IF(COUNTIF($AA$1:AA183,AA183)=1,1,0))</f>
        <v>0</v>
      </c>
      <c r="AC183" t="str">
        <f>IF(AB183=1,COUNTIF($AB$1:AB183,1),"")</f>
        <v/>
      </c>
    </row>
    <row r="184" spans="1:29" x14ac:dyDescent="0.25">
      <c r="A184" s="13" t="str">
        <f>IFERROR(INDEX($AA$1:$AA$368,MATCH(181,$AC$1:$AC$368,0)),"")</f>
        <v/>
      </c>
      <c r="B184" s="13" t="str">
        <f>IF($A184="","",IF(IFERROR(INDEX(Barneveld!$E$4:$E$36,MATCH($A184,Barneveld!$C$4:$C$36,0)),"")&lt;&gt;"",IFERROR(INDEX(Barneveld!$E$4:$E$36,MATCH($A184,Barneveld!$C$4:$C$36,0)),""),IF(IFERROR(INDEX(Baarn!$F$4:$F$38,MATCH($A184,Baarn!$C$4:$C$38,0)),"")&lt;&gt;"",IFERROR(INDEX(Baarn!$F$4:$F$38,MATCH($A184,Baarn!$C$4:$C$38,0)),""),IF(IFERROR(INDEX(Scherpenzeel!$F$4:$F$103,MATCH($A184,Scherpenzeel!$C$4:$C$103,0)),"")&lt;&gt;"",IFERROR(INDEX(Scherpenzeel!$F$4:$F$103,MATCH($A184,Scherpenzeel!$C$4:$C$103,0)),""),IF(IFERROR(INDEX('4'!$F$4:$F$103,MATCH($A184,'4'!$C$4:$C$103,0)),"")&lt;&gt;"",IFERROR(INDEX('4'!$F$4:$F$103,MATCH($A184,'4'!$C$4:$C$103,0)),""),IFERROR(INDEX('5'!$F$4:$F$103,MATCH($A184,'5'!$C$4:$C$103,0)),""))))))</f>
        <v/>
      </c>
      <c r="C184" s="13" t="str">
        <f>IF($A184="","",IF(IFERROR(INDEX(Barneveld!$D$4:$D$36,MATCH($A184,Barneveld!$C$4:$C$36,0)),"")&lt;&gt;"",IFERROR(INDEX(Barneveld!$D$4:$D$36,MATCH($A184,Barneveld!$C$4:$C$36,0)),""),IF(IFERROR(INDEX(Baarn!$E$4:$E$38,MATCH($A184,Baarn!$C$4:$C$38,0)),"")&lt;&gt;"",IFERROR(INDEX(Baarn!$E$4:$E$38,MATCH($A184,Baarn!$C$4:$C$38,0)),""),IF(IFERROR(INDEX(Scherpenzeel!$E$4:$E$103,MATCH($A184,Scherpenzeel!$C$4:$C$103,0)),"")&lt;&gt;"",IFERROR(INDEX(Scherpenzeel!$E$4:$E$103,MATCH($A184,Scherpenzeel!$C$4:$C$103,0)),""),IF(IFERROR(INDEX('4'!$E$4:$E$103,MATCH($A184,'4'!$C$4:$C$103,0)),"")&lt;&gt;"",IFERROR(INDEX('4'!$E$4:$E$103,MATCH($A184,'4'!$C$4:$C$103,0)),""),IFERROR(INDEX('5'!$E$4:$E$103,MATCH($A184,'5'!$C$4:$C$103,0)),""))))))</f>
        <v/>
      </c>
      <c r="D184" s="24" t="str">
        <f>IF($A184="","",IFERROR(INDEX(Barneveld!$A$4:$A$36,MATCH($A184,Barneveld!$C$4:$C$36,0)),""))</f>
        <v/>
      </c>
      <c r="E184" s="15">
        <f>IF($A184="",0,IFERROR(INDEX(Barneveld!$H$4:$H$36,MATCH($A184,Barneveld!$C$4:$C$36,0)),0))</f>
        <v>0</v>
      </c>
      <c r="F184" s="24" t="str">
        <f>IF($A184="","",IFERROR(INDEX(Baarn!$A$4:$A$38,MATCH($A184,Baarn!$C$4:$C$38,0)),""))</f>
        <v/>
      </c>
      <c r="G184" s="15">
        <f>IF($A184="",0,IFERROR(INDEX(Baarn!$I$4:$I$38,MATCH($A184,Baarn!$C$4:$C$38,0)),0))</f>
        <v>0</v>
      </c>
      <c r="H184" s="24" t="str">
        <f>IF($A184="","",IFERROR(INDEX(Scherpenzeel!$A$4:$A$103,MATCH($A184,Scherpenzeel!$C$4:$C$103,0)),""))</f>
        <v/>
      </c>
      <c r="I184" s="15">
        <f>IF($A184="",0,IFERROR(INDEX(Scherpenzeel!$I$4:$I$103,MATCH($A184,Scherpenzeel!$C$4:$C$103,0)),0))</f>
        <v>0</v>
      </c>
      <c r="J184" s="24" t="str">
        <f>IF($A184="","",IFERROR(INDEX('4'!$A$4:$A$103,MATCH($A184,'4'!$C$4:$C$103,0)),""))</f>
        <v/>
      </c>
      <c r="K184" s="15">
        <f>IF($A184="",0,IFERROR(INDEX('4'!$I$4:$I$103,MATCH($A184,'4'!$C$4:$C$103,0)),0))</f>
        <v>0</v>
      </c>
      <c r="L184" s="24" t="str">
        <f>IF($A184="","",IFERROR(INDEX('5'!$A$4:$A$103,MATCH($A184,'5'!$C$4:$C$103,0)),""))</f>
        <v/>
      </c>
      <c r="M184" s="15">
        <f>IF($A184="",0,IFERROR(INDEX('5'!$I$4:$I$103,MATCH($A184,'5'!$C$4:$C$103,0)),0))</f>
        <v>0</v>
      </c>
      <c r="N184" s="25" t="str">
        <f>IF($A184="","",E184+G184+I184+K184+M184)</f>
        <v/>
      </c>
      <c r="O184" s="26" t="str">
        <f>IF(OR($A184="",N184="",N184=0),"",RANK(N184,$N$4:$N$203,0))</f>
        <v/>
      </c>
      <c r="AA184">
        <f>'4'!C19</f>
        <v>0</v>
      </c>
      <c r="AB184">
        <f>IF(AA184="",0,IF(COUNTIF($AA$1:AA184,AA184)=1,1,0))</f>
        <v>0</v>
      </c>
      <c r="AC184" t="str">
        <f>IF(AB184=1,COUNTIF($AB$1:AB184,1),"")</f>
        <v/>
      </c>
    </row>
    <row r="185" spans="1:29" x14ac:dyDescent="0.25">
      <c r="A185" s="13" t="str">
        <f>IFERROR(INDEX($AA$1:$AA$368,MATCH(182,$AC$1:$AC$368,0)),"")</f>
        <v/>
      </c>
      <c r="B185" s="13" t="str">
        <f>IF($A185="","",IF(IFERROR(INDEX(Barneveld!$E$4:$E$36,MATCH($A185,Barneveld!$C$4:$C$36,0)),"")&lt;&gt;"",IFERROR(INDEX(Barneveld!$E$4:$E$36,MATCH($A185,Barneveld!$C$4:$C$36,0)),""),IF(IFERROR(INDEX(Baarn!$F$4:$F$38,MATCH($A185,Baarn!$C$4:$C$38,0)),"")&lt;&gt;"",IFERROR(INDEX(Baarn!$F$4:$F$38,MATCH($A185,Baarn!$C$4:$C$38,0)),""),IF(IFERROR(INDEX(Scherpenzeel!$F$4:$F$103,MATCH($A185,Scherpenzeel!$C$4:$C$103,0)),"")&lt;&gt;"",IFERROR(INDEX(Scherpenzeel!$F$4:$F$103,MATCH($A185,Scherpenzeel!$C$4:$C$103,0)),""),IF(IFERROR(INDEX('4'!$F$4:$F$103,MATCH($A185,'4'!$C$4:$C$103,0)),"")&lt;&gt;"",IFERROR(INDEX('4'!$F$4:$F$103,MATCH($A185,'4'!$C$4:$C$103,0)),""),IFERROR(INDEX('5'!$F$4:$F$103,MATCH($A185,'5'!$C$4:$C$103,0)),""))))))</f>
        <v/>
      </c>
      <c r="C185" s="13" t="str">
        <f>IF($A185="","",IF(IFERROR(INDEX(Barneveld!$D$4:$D$36,MATCH($A185,Barneveld!$C$4:$C$36,0)),"")&lt;&gt;"",IFERROR(INDEX(Barneveld!$D$4:$D$36,MATCH($A185,Barneveld!$C$4:$C$36,0)),""),IF(IFERROR(INDEX(Baarn!$E$4:$E$38,MATCH($A185,Baarn!$C$4:$C$38,0)),"")&lt;&gt;"",IFERROR(INDEX(Baarn!$E$4:$E$38,MATCH($A185,Baarn!$C$4:$C$38,0)),""),IF(IFERROR(INDEX(Scherpenzeel!$E$4:$E$103,MATCH($A185,Scherpenzeel!$C$4:$C$103,0)),"")&lt;&gt;"",IFERROR(INDEX(Scherpenzeel!$E$4:$E$103,MATCH($A185,Scherpenzeel!$C$4:$C$103,0)),""),IF(IFERROR(INDEX('4'!$E$4:$E$103,MATCH($A185,'4'!$C$4:$C$103,0)),"")&lt;&gt;"",IFERROR(INDEX('4'!$E$4:$E$103,MATCH($A185,'4'!$C$4:$C$103,0)),""),IFERROR(INDEX('5'!$E$4:$E$103,MATCH($A185,'5'!$C$4:$C$103,0)),""))))))</f>
        <v/>
      </c>
      <c r="D185" s="24" t="str">
        <f>IF($A185="","",IFERROR(INDEX(Barneveld!$A$4:$A$36,MATCH($A185,Barneveld!$C$4:$C$36,0)),""))</f>
        <v/>
      </c>
      <c r="E185" s="15">
        <f>IF($A185="",0,IFERROR(INDEX(Barneveld!$H$4:$H$36,MATCH($A185,Barneveld!$C$4:$C$36,0)),0))</f>
        <v>0</v>
      </c>
      <c r="F185" s="24" t="str">
        <f>IF($A185="","",IFERROR(INDEX(Baarn!$A$4:$A$38,MATCH($A185,Baarn!$C$4:$C$38,0)),""))</f>
        <v/>
      </c>
      <c r="G185" s="15">
        <f>IF($A185="",0,IFERROR(INDEX(Baarn!$I$4:$I$38,MATCH($A185,Baarn!$C$4:$C$38,0)),0))</f>
        <v>0</v>
      </c>
      <c r="H185" s="24" t="str">
        <f>IF($A185="","",IFERROR(INDEX(Scherpenzeel!$A$4:$A$103,MATCH($A185,Scherpenzeel!$C$4:$C$103,0)),""))</f>
        <v/>
      </c>
      <c r="I185" s="15">
        <f>IF($A185="",0,IFERROR(INDEX(Scherpenzeel!$I$4:$I$103,MATCH($A185,Scherpenzeel!$C$4:$C$103,0)),0))</f>
        <v>0</v>
      </c>
      <c r="J185" s="24" t="str">
        <f>IF($A185="","",IFERROR(INDEX('4'!$A$4:$A$103,MATCH($A185,'4'!$C$4:$C$103,0)),""))</f>
        <v/>
      </c>
      <c r="K185" s="15">
        <f>IF($A185="",0,IFERROR(INDEX('4'!$I$4:$I$103,MATCH($A185,'4'!$C$4:$C$103,0)),0))</f>
        <v>0</v>
      </c>
      <c r="L185" s="24" t="str">
        <f>IF($A185="","",IFERROR(INDEX('5'!$A$4:$A$103,MATCH($A185,'5'!$C$4:$C$103,0)),""))</f>
        <v/>
      </c>
      <c r="M185" s="15">
        <f>IF($A185="",0,IFERROR(INDEX('5'!$I$4:$I$103,MATCH($A185,'5'!$C$4:$C$103,0)),0))</f>
        <v>0</v>
      </c>
      <c r="N185" s="25" t="str">
        <f>IF($A185="","",E185+G185+I185+K185+M185)</f>
        <v/>
      </c>
      <c r="O185" s="26" t="str">
        <f>IF(OR($A185="",N185="",N185=0),"",RANK(N185,$N$4:$N$203,0))</f>
        <v/>
      </c>
      <c r="AA185">
        <f>'4'!C20</f>
        <v>0</v>
      </c>
      <c r="AB185">
        <f>IF(AA185="",0,IF(COUNTIF($AA$1:AA185,AA185)=1,1,0))</f>
        <v>0</v>
      </c>
      <c r="AC185" t="str">
        <f>IF(AB185=1,COUNTIF($AB$1:AB185,1),"")</f>
        <v/>
      </c>
    </row>
    <row r="186" spans="1:29" x14ac:dyDescent="0.25">
      <c r="A186" s="13" t="str">
        <f>IFERROR(INDEX($AA$1:$AA$368,MATCH(183,$AC$1:$AC$368,0)),"")</f>
        <v/>
      </c>
      <c r="B186" s="13" t="str">
        <f>IF($A186="","",IF(IFERROR(INDEX(Barneveld!$E$4:$E$36,MATCH($A186,Barneveld!$C$4:$C$36,0)),"")&lt;&gt;"",IFERROR(INDEX(Barneveld!$E$4:$E$36,MATCH($A186,Barneveld!$C$4:$C$36,0)),""),IF(IFERROR(INDEX(Baarn!$F$4:$F$38,MATCH($A186,Baarn!$C$4:$C$38,0)),"")&lt;&gt;"",IFERROR(INDEX(Baarn!$F$4:$F$38,MATCH($A186,Baarn!$C$4:$C$38,0)),""),IF(IFERROR(INDEX(Scherpenzeel!$F$4:$F$103,MATCH($A186,Scherpenzeel!$C$4:$C$103,0)),"")&lt;&gt;"",IFERROR(INDEX(Scherpenzeel!$F$4:$F$103,MATCH($A186,Scherpenzeel!$C$4:$C$103,0)),""),IF(IFERROR(INDEX('4'!$F$4:$F$103,MATCH($A186,'4'!$C$4:$C$103,0)),"")&lt;&gt;"",IFERROR(INDEX('4'!$F$4:$F$103,MATCH($A186,'4'!$C$4:$C$103,0)),""),IFERROR(INDEX('5'!$F$4:$F$103,MATCH($A186,'5'!$C$4:$C$103,0)),""))))))</f>
        <v/>
      </c>
      <c r="C186" s="13" t="str">
        <f>IF($A186="","",IF(IFERROR(INDEX(Barneveld!$D$4:$D$36,MATCH($A186,Barneveld!$C$4:$C$36,0)),"")&lt;&gt;"",IFERROR(INDEX(Barneveld!$D$4:$D$36,MATCH($A186,Barneveld!$C$4:$C$36,0)),""),IF(IFERROR(INDEX(Baarn!$E$4:$E$38,MATCH($A186,Baarn!$C$4:$C$38,0)),"")&lt;&gt;"",IFERROR(INDEX(Baarn!$E$4:$E$38,MATCH($A186,Baarn!$C$4:$C$38,0)),""),IF(IFERROR(INDEX(Scherpenzeel!$E$4:$E$103,MATCH($A186,Scherpenzeel!$C$4:$C$103,0)),"")&lt;&gt;"",IFERROR(INDEX(Scherpenzeel!$E$4:$E$103,MATCH($A186,Scherpenzeel!$C$4:$C$103,0)),""),IF(IFERROR(INDEX('4'!$E$4:$E$103,MATCH($A186,'4'!$C$4:$C$103,0)),"")&lt;&gt;"",IFERROR(INDEX('4'!$E$4:$E$103,MATCH($A186,'4'!$C$4:$C$103,0)),""),IFERROR(INDEX('5'!$E$4:$E$103,MATCH($A186,'5'!$C$4:$C$103,0)),""))))))</f>
        <v/>
      </c>
      <c r="D186" s="24" t="str">
        <f>IF($A186="","",IFERROR(INDEX(Barneveld!$A$4:$A$36,MATCH($A186,Barneveld!$C$4:$C$36,0)),""))</f>
        <v/>
      </c>
      <c r="E186" s="15">
        <f>IF($A186="",0,IFERROR(INDEX(Barneveld!$H$4:$H$36,MATCH($A186,Barneveld!$C$4:$C$36,0)),0))</f>
        <v>0</v>
      </c>
      <c r="F186" s="24" t="str">
        <f>IF($A186="","",IFERROR(INDEX(Baarn!$A$4:$A$38,MATCH($A186,Baarn!$C$4:$C$38,0)),""))</f>
        <v/>
      </c>
      <c r="G186" s="15">
        <f>IF($A186="",0,IFERROR(INDEX(Baarn!$I$4:$I$38,MATCH($A186,Baarn!$C$4:$C$38,0)),0))</f>
        <v>0</v>
      </c>
      <c r="H186" s="24" t="str">
        <f>IF($A186="","",IFERROR(INDEX(Scherpenzeel!$A$4:$A$103,MATCH($A186,Scherpenzeel!$C$4:$C$103,0)),""))</f>
        <v/>
      </c>
      <c r="I186" s="15">
        <f>IF($A186="",0,IFERROR(INDEX(Scherpenzeel!$I$4:$I$103,MATCH($A186,Scherpenzeel!$C$4:$C$103,0)),0))</f>
        <v>0</v>
      </c>
      <c r="J186" s="24" t="str">
        <f>IF($A186="","",IFERROR(INDEX('4'!$A$4:$A$103,MATCH($A186,'4'!$C$4:$C$103,0)),""))</f>
        <v/>
      </c>
      <c r="K186" s="15">
        <f>IF($A186="",0,IFERROR(INDEX('4'!$I$4:$I$103,MATCH($A186,'4'!$C$4:$C$103,0)),0))</f>
        <v>0</v>
      </c>
      <c r="L186" s="24" t="str">
        <f>IF($A186="","",IFERROR(INDEX('5'!$A$4:$A$103,MATCH($A186,'5'!$C$4:$C$103,0)),""))</f>
        <v/>
      </c>
      <c r="M186" s="15">
        <f>IF($A186="",0,IFERROR(INDEX('5'!$I$4:$I$103,MATCH($A186,'5'!$C$4:$C$103,0)),0))</f>
        <v>0</v>
      </c>
      <c r="N186" s="25" t="str">
        <f>IF($A186="","",E186+G186+I186+K186+M186)</f>
        <v/>
      </c>
      <c r="O186" s="26" t="str">
        <f>IF(OR($A186="",N186="",N186=0),"",RANK(N186,$N$4:$N$203,0))</f>
        <v/>
      </c>
      <c r="AA186">
        <f>'4'!C21</f>
        <v>0</v>
      </c>
      <c r="AB186">
        <f>IF(AA186="",0,IF(COUNTIF($AA$1:AA186,AA186)=1,1,0))</f>
        <v>0</v>
      </c>
      <c r="AC186" t="str">
        <f>IF(AB186=1,COUNTIF($AB$1:AB186,1),"")</f>
        <v/>
      </c>
    </row>
    <row r="187" spans="1:29" x14ac:dyDescent="0.25">
      <c r="A187" s="13" t="str">
        <f>IFERROR(INDEX($AA$1:$AA$368,MATCH(184,$AC$1:$AC$368,0)),"")</f>
        <v/>
      </c>
      <c r="B187" s="13" t="str">
        <f>IF($A187="","",IF(IFERROR(INDEX(Barneveld!$E$4:$E$36,MATCH($A187,Barneveld!$C$4:$C$36,0)),"")&lt;&gt;"",IFERROR(INDEX(Barneveld!$E$4:$E$36,MATCH($A187,Barneveld!$C$4:$C$36,0)),""),IF(IFERROR(INDEX(Baarn!$F$4:$F$38,MATCH($A187,Baarn!$C$4:$C$38,0)),"")&lt;&gt;"",IFERROR(INDEX(Baarn!$F$4:$F$38,MATCH($A187,Baarn!$C$4:$C$38,0)),""),IF(IFERROR(INDEX(Scherpenzeel!$F$4:$F$103,MATCH($A187,Scherpenzeel!$C$4:$C$103,0)),"")&lt;&gt;"",IFERROR(INDEX(Scherpenzeel!$F$4:$F$103,MATCH($A187,Scherpenzeel!$C$4:$C$103,0)),""),IF(IFERROR(INDEX('4'!$F$4:$F$103,MATCH($A187,'4'!$C$4:$C$103,0)),"")&lt;&gt;"",IFERROR(INDEX('4'!$F$4:$F$103,MATCH($A187,'4'!$C$4:$C$103,0)),""),IFERROR(INDEX('5'!$F$4:$F$103,MATCH($A187,'5'!$C$4:$C$103,0)),""))))))</f>
        <v/>
      </c>
      <c r="C187" s="13" t="str">
        <f>IF($A187="","",IF(IFERROR(INDEX(Barneveld!$D$4:$D$36,MATCH($A187,Barneveld!$C$4:$C$36,0)),"")&lt;&gt;"",IFERROR(INDEX(Barneveld!$D$4:$D$36,MATCH($A187,Barneveld!$C$4:$C$36,0)),""),IF(IFERROR(INDEX(Baarn!$E$4:$E$38,MATCH($A187,Baarn!$C$4:$C$38,0)),"")&lt;&gt;"",IFERROR(INDEX(Baarn!$E$4:$E$38,MATCH($A187,Baarn!$C$4:$C$38,0)),""),IF(IFERROR(INDEX(Scherpenzeel!$E$4:$E$103,MATCH($A187,Scherpenzeel!$C$4:$C$103,0)),"")&lt;&gt;"",IFERROR(INDEX(Scherpenzeel!$E$4:$E$103,MATCH($A187,Scherpenzeel!$C$4:$C$103,0)),""),IF(IFERROR(INDEX('4'!$E$4:$E$103,MATCH($A187,'4'!$C$4:$C$103,0)),"")&lt;&gt;"",IFERROR(INDEX('4'!$E$4:$E$103,MATCH($A187,'4'!$C$4:$C$103,0)),""),IFERROR(INDEX('5'!$E$4:$E$103,MATCH($A187,'5'!$C$4:$C$103,0)),""))))))</f>
        <v/>
      </c>
      <c r="D187" s="24" t="str">
        <f>IF($A187="","",IFERROR(INDEX(Barneveld!$A$4:$A$36,MATCH($A187,Barneveld!$C$4:$C$36,0)),""))</f>
        <v/>
      </c>
      <c r="E187" s="15">
        <f>IF($A187="",0,IFERROR(INDEX(Barneveld!$H$4:$H$36,MATCH($A187,Barneveld!$C$4:$C$36,0)),0))</f>
        <v>0</v>
      </c>
      <c r="F187" s="24" t="str">
        <f>IF($A187="","",IFERROR(INDEX(Baarn!$A$4:$A$38,MATCH($A187,Baarn!$C$4:$C$38,0)),""))</f>
        <v/>
      </c>
      <c r="G187" s="15">
        <f>IF($A187="",0,IFERROR(INDEX(Baarn!$I$4:$I$38,MATCH($A187,Baarn!$C$4:$C$38,0)),0))</f>
        <v>0</v>
      </c>
      <c r="H187" s="24" t="str">
        <f>IF($A187="","",IFERROR(INDEX(Scherpenzeel!$A$4:$A$103,MATCH($A187,Scherpenzeel!$C$4:$C$103,0)),""))</f>
        <v/>
      </c>
      <c r="I187" s="15">
        <f>IF($A187="",0,IFERROR(INDEX(Scherpenzeel!$I$4:$I$103,MATCH($A187,Scherpenzeel!$C$4:$C$103,0)),0))</f>
        <v>0</v>
      </c>
      <c r="J187" s="24" t="str">
        <f>IF($A187="","",IFERROR(INDEX('4'!$A$4:$A$103,MATCH($A187,'4'!$C$4:$C$103,0)),""))</f>
        <v/>
      </c>
      <c r="K187" s="15">
        <f>IF($A187="",0,IFERROR(INDEX('4'!$I$4:$I$103,MATCH($A187,'4'!$C$4:$C$103,0)),0))</f>
        <v>0</v>
      </c>
      <c r="L187" s="24" t="str">
        <f>IF($A187="","",IFERROR(INDEX('5'!$A$4:$A$103,MATCH($A187,'5'!$C$4:$C$103,0)),""))</f>
        <v/>
      </c>
      <c r="M187" s="15">
        <f>IF($A187="",0,IFERROR(INDEX('5'!$I$4:$I$103,MATCH($A187,'5'!$C$4:$C$103,0)),0))</f>
        <v>0</v>
      </c>
      <c r="N187" s="25" t="str">
        <f>IF($A187="","",E187+G187+I187+K187+M187)</f>
        <v/>
      </c>
      <c r="O187" s="26" t="str">
        <f>IF(OR($A187="",N187="",N187=0),"",RANK(N187,$N$4:$N$203,0))</f>
        <v/>
      </c>
      <c r="AA187">
        <f>'4'!C22</f>
        <v>0</v>
      </c>
      <c r="AB187">
        <f>IF(AA187="",0,IF(COUNTIF($AA$1:AA187,AA187)=1,1,0))</f>
        <v>0</v>
      </c>
      <c r="AC187" t="str">
        <f>IF(AB187=1,COUNTIF($AB$1:AB187,1),"")</f>
        <v/>
      </c>
    </row>
    <row r="188" spans="1:29" x14ac:dyDescent="0.25">
      <c r="A188" s="13" t="str">
        <f>IFERROR(INDEX($AA$1:$AA$368,MATCH(185,$AC$1:$AC$368,0)),"")</f>
        <v/>
      </c>
      <c r="B188" s="13" t="str">
        <f>IF($A188="","",IF(IFERROR(INDEX(Barneveld!$E$4:$E$36,MATCH($A188,Barneveld!$C$4:$C$36,0)),"")&lt;&gt;"",IFERROR(INDEX(Barneveld!$E$4:$E$36,MATCH($A188,Barneveld!$C$4:$C$36,0)),""),IF(IFERROR(INDEX(Baarn!$F$4:$F$38,MATCH($A188,Baarn!$C$4:$C$38,0)),"")&lt;&gt;"",IFERROR(INDEX(Baarn!$F$4:$F$38,MATCH($A188,Baarn!$C$4:$C$38,0)),""),IF(IFERROR(INDEX(Scherpenzeel!$F$4:$F$103,MATCH($A188,Scherpenzeel!$C$4:$C$103,0)),"")&lt;&gt;"",IFERROR(INDEX(Scherpenzeel!$F$4:$F$103,MATCH($A188,Scherpenzeel!$C$4:$C$103,0)),""),IF(IFERROR(INDEX('4'!$F$4:$F$103,MATCH($A188,'4'!$C$4:$C$103,0)),"")&lt;&gt;"",IFERROR(INDEX('4'!$F$4:$F$103,MATCH($A188,'4'!$C$4:$C$103,0)),""),IFERROR(INDEX('5'!$F$4:$F$103,MATCH($A188,'5'!$C$4:$C$103,0)),""))))))</f>
        <v/>
      </c>
      <c r="C188" s="13" t="str">
        <f>IF($A188="","",IF(IFERROR(INDEX(Barneveld!$D$4:$D$36,MATCH($A188,Barneveld!$C$4:$C$36,0)),"")&lt;&gt;"",IFERROR(INDEX(Barneveld!$D$4:$D$36,MATCH($A188,Barneveld!$C$4:$C$36,0)),""),IF(IFERROR(INDEX(Baarn!$E$4:$E$38,MATCH($A188,Baarn!$C$4:$C$38,0)),"")&lt;&gt;"",IFERROR(INDEX(Baarn!$E$4:$E$38,MATCH($A188,Baarn!$C$4:$C$38,0)),""),IF(IFERROR(INDEX(Scherpenzeel!$E$4:$E$103,MATCH($A188,Scherpenzeel!$C$4:$C$103,0)),"")&lt;&gt;"",IFERROR(INDEX(Scherpenzeel!$E$4:$E$103,MATCH($A188,Scherpenzeel!$C$4:$C$103,0)),""),IF(IFERROR(INDEX('4'!$E$4:$E$103,MATCH($A188,'4'!$C$4:$C$103,0)),"")&lt;&gt;"",IFERROR(INDEX('4'!$E$4:$E$103,MATCH($A188,'4'!$C$4:$C$103,0)),""),IFERROR(INDEX('5'!$E$4:$E$103,MATCH($A188,'5'!$C$4:$C$103,0)),""))))))</f>
        <v/>
      </c>
      <c r="D188" s="24" t="str">
        <f>IF($A188="","",IFERROR(INDEX(Barneveld!$A$4:$A$36,MATCH($A188,Barneveld!$C$4:$C$36,0)),""))</f>
        <v/>
      </c>
      <c r="E188" s="15">
        <f>IF($A188="",0,IFERROR(INDEX(Barneveld!$H$4:$H$36,MATCH($A188,Barneveld!$C$4:$C$36,0)),0))</f>
        <v>0</v>
      </c>
      <c r="F188" s="24" t="str">
        <f>IF($A188="","",IFERROR(INDEX(Baarn!$A$4:$A$38,MATCH($A188,Baarn!$C$4:$C$38,0)),""))</f>
        <v/>
      </c>
      <c r="G188" s="15">
        <f>IF($A188="",0,IFERROR(INDEX(Baarn!$I$4:$I$38,MATCH($A188,Baarn!$C$4:$C$38,0)),0))</f>
        <v>0</v>
      </c>
      <c r="H188" s="24" t="str">
        <f>IF($A188="","",IFERROR(INDEX(Scherpenzeel!$A$4:$A$103,MATCH($A188,Scherpenzeel!$C$4:$C$103,0)),""))</f>
        <v/>
      </c>
      <c r="I188" s="15">
        <f>IF($A188="",0,IFERROR(INDEX(Scherpenzeel!$I$4:$I$103,MATCH($A188,Scherpenzeel!$C$4:$C$103,0)),0))</f>
        <v>0</v>
      </c>
      <c r="J188" s="24" t="str">
        <f>IF($A188="","",IFERROR(INDEX('4'!$A$4:$A$103,MATCH($A188,'4'!$C$4:$C$103,0)),""))</f>
        <v/>
      </c>
      <c r="K188" s="15">
        <f>IF($A188="",0,IFERROR(INDEX('4'!$I$4:$I$103,MATCH($A188,'4'!$C$4:$C$103,0)),0))</f>
        <v>0</v>
      </c>
      <c r="L188" s="24" t="str">
        <f>IF($A188="","",IFERROR(INDEX('5'!$A$4:$A$103,MATCH($A188,'5'!$C$4:$C$103,0)),""))</f>
        <v/>
      </c>
      <c r="M188" s="15">
        <f>IF($A188="",0,IFERROR(INDEX('5'!$I$4:$I$103,MATCH($A188,'5'!$C$4:$C$103,0)),0))</f>
        <v>0</v>
      </c>
      <c r="N188" s="25" t="str">
        <f>IF($A188="","",E188+G188+I188+K188+M188)</f>
        <v/>
      </c>
      <c r="O188" s="26" t="str">
        <f>IF(OR($A188="",N188="",N188=0),"",RANK(N188,$N$4:$N$203,0))</f>
        <v/>
      </c>
      <c r="AA188">
        <f>'4'!C23</f>
        <v>0</v>
      </c>
      <c r="AB188">
        <f>IF(AA188="",0,IF(COUNTIF($AA$1:AA188,AA188)=1,1,0))</f>
        <v>0</v>
      </c>
      <c r="AC188" t="str">
        <f>IF(AB188=1,COUNTIF($AB$1:AB188,1),"")</f>
        <v/>
      </c>
    </row>
    <row r="189" spans="1:29" x14ac:dyDescent="0.25">
      <c r="A189" s="13" t="str">
        <f>IFERROR(INDEX($AA$1:$AA$368,MATCH(186,$AC$1:$AC$368,0)),"")</f>
        <v/>
      </c>
      <c r="B189" s="13" t="str">
        <f>IF($A189="","",IF(IFERROR(INDEX(Barneveld!$E$4:$E$36,MATCH($A189,Barneveld!$C$4:$C$36,0)),"")&lt;&gt;"",IFERROR(INDEX(Barneveld!$E$4:$E$36,MATCH($A189,Barneveld!$C$4:$C$36,0)),""),IF(IFERROR(INDEX(Baarn!$F$4:$F$38,MATCH($A189,Baarn!$C$4:$C$38,0)),"")&lt;&gt;"",IFERROR(INDEX(Baarn!$F$4:$F$38,MATCH($A189,Baarn!$C$4:$C$38,0)),""),IF(IFERROR(INDEX(Scherpenzeel!$F$4:$F$103,MATCH($A189,Scherpenzeel!$C$4:$C$103,0)),"")&lt;&gt;"",IFERROR(INDEX(Scherpenzeel!$F$4:$F$103,MATCH($A189,Scherpenzeel!$C$4:$C$103,0)),""),IF(IFERROR(INDEX('4'!$F$4:$F$103,MATCH($A189,'4'!$C$4:$C$103,0)),"")&lt;&gt;"",IFERROR(INDEX('4'!$F$4:$F$103,MATCH($A189,'4'!$C$4:$C$103,0)),""),IFERROR(INDEX('5'!$F$4:$F$103,MATCH($A189,'5'!$C$4:$C$103,0)),""))))))</f>
        <v/>
      </c>
      <c r="C189" s="13" t="str">
        <f>IF($A189="","",IF(IFERROR(INDEX(Barneveld!$D$4:$D$36,MATCH($A189,Barneveld!$C$4:$C$36,0)),"")&lt;&gt;"",IFERROR(INDEX(Barneveld!$D$4:$D$36,MATCH($A189,Barneveld!$C$4:$C$36,0)),""),IF(IFERROR(INDEX(Baarn!$E$4:$E$38,MATCH($A189,Baarn!$C$4:$C$38,0)),"")&lt;&gt;"",IFERROR(INDEX(Baarn!$E$4:$E$38,MATCH($A189,Baarn!$C$4:$C$38,0)),""),IF(IFERROR(INDEX(Scherpenzeel!$E$4:$E$103,MATCH($A189,Scherpenzeel!$C$4:$C$103,0)),"")&lt;&gt;"",IFERROR(INDEX(Scherpenzeel!$E$4:$E$103,MATCH($A189,Scherpenzeel!$C$4:$C$103,0)),""),IF(IFERROR(INDEX('4'!$E$4:$E$103,MATCH($A189,'4'!$C$4:$C$103,0)),"")&lt;&gt;"",IFERROR(INDEX('4'!$E$4:$E$103,MATCH($A189,'4'!$C$4:$C$103,0)),""),IFERROR(INDEX('5'!$E$4:$E$103,MATCH($A189,'5'!$C$4:$C$103,0)),""))))))</f>
        <v/>
      </c>
      <c r="D189" s="24" t="str">
        <f>IF($A189="","",IFERROR(INDEX(Barneveld!$A$4:$A$36,MATCH($A189,Barneveld!$C$4:$C$36,0)),""))</f>
        <v/>
      </c>
      <c r="E189" s="15">
        <f>IF($A189="",0,IFERROR(INDEX(Barneveld!$H$4:$H$36,MATCH($A189,Barneveld!$C$4:$C$36,0)),0))</f>
        <v>0</v>
      </c>
      <c r="F189" s="24" t="str">
        <f>IF($A189="","",IFERROR(INDEX(Baarn!$A$4:$A$38,MATCH($A189,Baarn!$C$4:$C$38,0)),""))</f>
        <v/>
      </c>
      <c r="G189" s="15">
        <f>IF($A189="",0,IFERROR(INDEX(Baarn!$I$4:$I$38,MATCH($A189,Baarn!$C$4:$C$38,0)),0))</f>
        <v>0</v>
      </c>
      <c r="H189" s="24" t="str">
        <f>IF($A189="","",IFERROR(INDEX(Scherpenzeel!$A$4:$A$103,MATCH($A189,Scherpenzeel!$C$4:$C$103,0)),""))</f>
        <v/>
      </c>
      <c r="I189" s="15">
        <f>IF($A189="",0,IFERROR(INDEX(Scherpenzeel!$I$4:$I$103,MATCH($A189,Scherpenzeel!$C$4:$C$103,0)),0))</f>
        <v>0</v>
      </c>
      <c r="J189" s="24" t="str">
        <f>IF($A189="","",IFERROR(INDEX('4'!$A$4:$A$103,MATCH($A189,'4'!$C$4:$C$103,0)),""))</f>
        <v/>
      </c>
      <c r="K189" s="15">
        <f>IF($A189="",0,IFERROR(INDEX('4'!$I$4:$I$103,MATCH($A189,'4'!$C$4:$C$103,0)),0))</f>
        <v>0</v>
      </c>
      <c r="L189" s="24" t="str">
        <f>IF($A189="","",IFERROR(INDEX('5'!$A$4:$A$103,MATCH($A189,'5'!$C$4:$C$103,0)),""))</f>
        <v/>
      </c>
      <c r="M189" s="15">
        <f>IF($A189="",0,IFERROR(INDEX('5'!$I$4:$I$103,MATCH($A189,'5'!$C$4:$C$103,0)),0))</f>
        <v>0</v>
      </c>
      <c r="N189" s="25" t="str">
        <f>IF($A189="","",E189+G189+I189+K189+M189)</f>
        <v/>
      </c>
      <c r="O189" s="26" t="str">
        <f>IF(OR($A189="",N189="",N189=0),"",RANK(N189,$N$4:$N$203,0))</f>
        <v/>
      </c>
      <c r="AA189">
        <f>'4'!C24</f>
        <v>0</v>
      </c>
      <c r="AB189">
        <f>IF(AA189="",0,IF(COUNTIF($AA$1:AA189,AA189)=1,1,0))</f>
        <v>0</v>
      </c>
      <c r="AC189" t="str">
        <f>IF(AB189=1,COUNTIF($AB$1:AB189,1),"")</f>
        <v/>
      </c>
    </row>
    <row r="190" spans="1:29" x14ac:dyDescent="0.25">
      <c r="A190" s="13" t="str">
        <f>IFERROR(INDEX($AA$1:$AA$368,MATCH(187,$AC$1:$AC$368,0)),"")</f>
        <v/>
      </c>
      <c r="B190" s="13" t="str">
        <f>IF($A190="","",IF(IFERROR(INDEX(Barneveld!$E$4:$E$36,MATCH($A190,Barneveld!$C$4:$C$36,0)),"")&lt;&gt;"",IFERROR(INDEX(Barneveld!$E$4:$E$36,MATCH($A190,Barneveld!$C$4:$C$36,0)),""),IF(IFERROR(INDEX(Baarn!$F$4:$F$38,MATCH($A190,Baarn!$C$4:$C$38,0)),"")&lt;&gt;"",IFERROR(INDEX(Baarn!$F$4:$F$38,MATCH($A190,Baarn!$C$4:$C$38,0)),""),IF(IFERROR(INDEX(Scherpenzeel!$F$4:$F$103,MATCH($A190,Scherpenzeel!$C$4:$C$103,0)),"")&lt;&gt;"",IFERROR(INDEX(Scherpenzeel!$F$4:$F$103,MATCH($A190,Scherpenzeel!$C$4:$C$103,0)),""),IF(IFERROR(INDEX('4'!$F$4:$F$103,MATCH($A190,'4'!$C$4:$C$103,0)),"")&lt;&gt;"",IFERROR(INDEX('4'!$F$4:$F$103,MATCH($A190,'4'!$C$4:$C$103,0)),""),IFERROR(INDEX('5'!$F$4:$F$103,MATCH($A190,'5'!$C$4:$C$103,0)),""))))))</f>
        <v/>
      </c>
      <c r="C190" s="13" t="str">
        <f>IF($A190="","",IF(IFERROR(INDEX(Barneveld!$D$4:$D$36,MATCH($A190,Barneveld!$C$4:$C$36,0)),"")&lt;&gt;"",IFERROR(INDEX(Barneveld!$D$4:$D$36,MATCH($A190,Barneveld!$C$4:$C$36,0)),""),IF(IFERROR(INDEX(Baarn!$E$4:$E$38,MATCH($A190,Baarn!$C$4:$C$38,0)),"")&lt;&gt;"",IFERROR(INDEX(Baarn!$E$4:$E$38,MATCH($A190,Baarn!$C$4:$C$38,0)),""),IF(IFERROR(INDEX(Scherpenzeel!$E$4:$E$103,MATCH($A190,Scherpenzeel!$C$4:$C$103,0)),"")&lt;&gt;"",IFERROR(INDEX(Scherpenzeel!$E$4:$E$103,MATCH($A190,Scherpenzeel!$C$4:$C$103,0)),""),IF(IFERROR(INDEX('4'!$E$4:$E$103,MATCH($A190,'4'!$C$4:$C$103,0)),"")&lt;&gt;"",IFERROR(INDEX('4'!$E$4:$E$103,MATCH($A190,'4'!$C$4:$C$103,0)),""),IFERROR(INDEX('5'!$E$4:$E$103,MATCH($A190,'5'!$C$4:$C$103,0)),""))))))</f>
        <v/>
      </c>
      <c r="D190" s="24" t="str">
        <f>IF($A190="","",IFERROR(INDEX(Barneveld!$A$4:$A$36,MATCH($A190,Barneveld!$C$4:$C$36,0)),""))</f>
        <v/>
      </c>
      <c r="E190" s="15">
        <f>IF($A190="",0,IFERROR(INDEX(Barneveld!$H$4:$H$36,MATCH($A190,Barneveld!$C$4:$C$36,0)),0))</f>
        <v>0</v>
      </c>
      <c r="F190" s="24" t="str">
        <f>IF($A190="","",IFERROR(INDEX(Baarn!$A$4:$A$38,MATCH($A190,Baarn!$C$4:$C$38,0)),""))</f>
        <v/>
      </c>
      <c r="G190" s="15">
        <f>IF($A190="",0,IFERROR(INDEX(Baarn!$I$4:$I$38,MATCH($A190,Baarn!$C$4:$C$38,0)),0))</f>
        <v>0</v>
      </c>
      <c r="H190" s="24" t="str">
        <f>IF($A190="","",IFERROR(INDEX(Scherpenzeel!$A$4:$A$103,MATCH($A190,Scherpenzeel!$C$4:$C$103,0)),""))</f>
        <v/>
      </c>
      <c r="I190" s="15">
        <f>IF($A190="",0,IFERROR(INDEX(Scherpenzeel!$I$4:$I$103,MATCH($A190,Scherpenzeel!$C$4:$C$103,0)),0))</f>
        <v>0</v>
      </c>
      <c r="J190" s="24" t="str">
        <f>IF($A190="","",IFERROR(INDEX('4'!$A$4:$A$103,MATCH($A190,'4'!$C$4:$C$103,0)),""))</f>
        <v/>
      </c>
      <c r="K190" s="15">
        <f>IF($A190="",0,IFERROR(INDEX('4'!$I$4:$I$103,MATCH($A190,'4'!$C$4:$C$103,0)),0))</f>
        <v>0</v>
      </c>
      <c r="L190" s="24" t="str">
        <f>IF($A190="","",IFERROR(INDEX('5'!$A$4:$A$103,MATCH($A190,'5'!$C$4:$C$103,0)),""))</f>
        <v/>
      </c>
      <c r="M190" s="15">
        <f>IF($A190="",0,IFERROR(INDEX('5'!$I$4:$I$103,MATCH($A190,'5'!$C$4:$C$103,0)),0))</f>
        <v>0</v>
      </c>
      <c r="N190" s="25" t="str">
        <f>IF($A190="","",E190+G190+I190+K190+M190)</f>
        <v/>
      </c>
      <c r="O190" s="26" t="str">
        <f>IF(OR($A190="",N190="",N190=0),"",RANK(N190,$N$4:$N$203,0))</f>
        <v/>
      </c>
      <c r="AA190">
        <f>'4'!C25</f>
        <v>0</v>
      </c>
      <c r="AB190">
        <f>IF(AA190="",0,IF(COUNTIF($AA$1:AA190,AA190)=1,1,0))</f>
        <v>0</v>
      </c>
      <c r="AC190" t="str">
        <f>IF(AB190=1,COUNTIF($AB$1:AB190,1),"")</f>
        <v/>
      </c>
    </row>
    <row r="191" spans="1:29" x14ac:dyDescent="0.25">
      <c r="A191" s="13" t="str">
        <f>IFERROR(INDEX($AA$1:$AA$368,MATCH(188,$AC$1:$AC$368,0)),"")</f>
        <v/>
      </c>
      <c r="B191" s="13" t="str">
        <f>IF($A191="","",IF(IFERROR(INDEX(Barneveld!$E$4:$E$36,MATCH($A191,Barneveld!$C$4:$C$36,0)),"")&lt;&gt;"",IFERROR(INDEX(Barneveld!$E$4:$E$36,MATCH($A191,Barneveld!$C$4:$C$36,0)),""),IF(IFERROR(INDEX(Baarn!$F$4:$F$38,MATCH($A191,Baarn!$C$4:$C$38,0)),"")&lt;&gt;"",IFERROR(INDEX(Baarn!$F$4:$F$38,MATCH($A191,Baarn!$C$4:$C$38,0)),""),IF(IFERROR(INDEX(Scherpenzeel!$F$4:$F$103,MATCH($A191,Scherpenzeel!$C$4:$C$103,0)),"")&lt;&gt;"",IFERROR(INDEX(Scherpenzeel!$F$4:$F$103,MATCH($A191,Scherpenzeel!$C$4:$C$103,0)),""),IF(IFERROR(INDEX('4'!$F$4:$F$103,MATCH($A191,'4'!$C$4:$C$103,0)),"")&lt;&gt;"",IFERROR(INDEX('4'!$F$4:$F$103,MATCH($A191,'4'!$C$4:$C$103,0)),""),IFERROR(INDEX('5'!$F$4:$F$103,MATCH($A191,'5'!$C$4:$C$103,0)),""))))))</f>
        <v/>
      </c>
      <c r="C191" s="13" t="str">
        <f>IF($A191="","",IF(IFERROR(INDEX(Barneveld!$D$4:$D$36,MATCH($A191,Barneveld!$C$4:$C$36,0)),"")&lt;&gt;"",IFERROR(INDEX(Barneveld!$D$4:$D$36,MATCH($A191,Barneveld!$C$4:$C$36,0)),""),IF(IFERROR(INDEX(Baarn!$E$4:$E$38,MATCH($A191,Baarn!$C$4:$C$38,0)),"")&lt;&gt;"",IFERROR(INDEX(Baarn!$E$4:$E$38,MATCH($A191,Baarn!$C$4:$C$38,0)),""),IF(IFERROR(INDEX(Scherpenzeel!$E$4:$E$103,MATCH($A191,Scherpenzeel!$C$4:$C$103,0)),"")&lt;&gt;"",IFERROR(INDEX(Scherpenzeel!$E$4:$E$103,MATCH($A191,Scherpenzeel!$C$4:$C$103,0)),""),IF(IFERROR(INDEX('4'!$E$4:$E$103,MATCH($A191,'4'!$C$4:$C$103,0)),"")&lt;&gt;"",IFERROR(INDEX('4'!$E$4:$E$103,MATCH($A191,'4'!$C$4:$C$103,0)),""),IFERROR(INDEX('5'!$E$4:$E$103,MATCH($A191,'5'!$C$4:$C$103,0)),""))))))</f>
        <v/>
      </c>
      <c r="D191" s="24" t="str">
        <f>IF($A191="","",IFERROR(INDEX(Barneveld!$A$4:$A$36,MATCH($A191,Barneveld!$C$4:$C$36,0)),""))</f>
        <v/>
      </c>
      <c r="E191" s="15">
        <f>IF($A191="",0,IFERROR(INDEX(Barneveld!$H$4:$H$36,MATCH($A191,Barneveld!$C$4:$C$36,0)),0))</f>
        <v>0</v>
      </c>
      <c r="F191" s="24" t="str">
        <f>IF($A191="","",IFERROR(INDEX(Baarn!$A$4:$A$38,MATCH($A191,Baarn!$C$4:$C$38,0)),""))</f>
        <v/>
      </c>
      <c r="G191" s="15">
        <f>IF($A191="",0,IFERROR(INDEX(Baarn!$I$4:$I$38,MATCH($A191,Baarn!$C$4:$C$38,0)),0))</f>
        <v>0</v>
      </c>
      <c r="H191" s="24" t="str">
        <f>IF($A191="","",IFERROR(INDEX(Scherpenzeel!$A$4:$A$103,MATCH($A191,Scherpenzeel!$C$4:$C$103,0)),""))</f>
        <v/>
      </c>
      <c r="I191" s="15">
        <f>IF($A191="",0,IFERROR(INDEX(Scherpenzeel!$I$4:$I$103,MATCH($A191,Scherpenzeel!$C$4:$C$103,0)),0))</f>
        <v>0</v>
      </c>
      <c r="J191" s="24" t="str">
        <f>IF($A191="","",IFERROR(INDEX('4'!$A$4:$A$103,MATCH($A191,'4'!$C$4:$C$103,0)),""))</f>
        <v/>
      </c>
      <c r="K191" s="15">
        <f>IF($A191="",0,IFERROR(INDEX('4'!$I$4:$I$103,MATCH($A191,'4'!$C$4:$C$103,0)),0))</f>
        <v>0</v>
      </c>
      <c r="L191" s="24" t="str">
        <f>IF($A191="","",IFERROR(INDEX('5'!$A$4:$A$103,MATCH($A191,'5'!$C$4:$C$103,0)),""))</f>
        <v/>
      </c>
      <c r="M191" s="15">
        <f>IF($A191="",0,IFERROR(INDEX('5'!$I$4:$I$103,MATCH($A191,'5'!$C$4:$C$103,0)),0))</f>
        <v>0</v>
      </c>
      <c r="N191" s="25" t="str">
        <f>IF($A191="","",E191+G191+I191+K191+M191)</f>
        <v/>
      </c>
      <c r="O191" s="26" t="str">
        <f>IF(OR($A191="",N191="",N191=0),"",RANK(N191,$N$4:$N$203,0))</f>
        <v/>
      </c>
      <c r="AA191">
        <f>'4'!C26</f>
        <v>0</v>
      </c>
      <c r="AB191">
        <f>IF(AA191="",0,IF(COUNTIF($AA$1:AA191,AA191)=1,1,0))</f>
        <v>0</v>
      </c>
      <c r="AC191" t="str">
        <f>IF(AB191=1,COUNTIF($AB$1:AB191,1),"")</f>
        <v/>
      </c>
    </row>
    <row r="192" spans="1:29" x14ac:dyDescent="0.25">
      <c r="A192" s="13" t="str">
        <f>IFERROR(INDEX($AA$1:$AA$368,MATCH(189,$AC$1:$AC$368,0)),"")</f>
        <v/>
      </c>
      <c r="B192" s="13" t="str">
        <f>IF($A192="","",IF(IFERROR(INDEX(Barneveld!$E$4:$E$36,MATCH($A192,Barneveld!$C$4:$C$36,0)),"")&lt;&gt;"",IFERROR(INDEX(Barneveld!$E$4:$E$36,MATCH($A192,Barneveld!$C$4:$C$36,0)),""),IF(IFERROR(INDEX(Baarn!$F$4:$F$38,MATCH($A192,Baarn!$C$4:$C$38,0)),"")&lt;&gt;"",IFERROR(INDEX(Baarn!$F$4:$F$38,MATCH($A192,Baarn!$C$4:$C$38,0)),""),IF(IFERROR(INDEX(Scherpenzeel!$F$4:$F$103,MATCH($A192,Scherpenzeel!$C$4:$C$103,0)),"")&lt;&gt;"",IFERROR(INDEX(Scherpenzeel!$F$4:$F$103,MATCH($A192,Scherpenzeel!$C$4:$C$103,0)),""),IF(IFERROR(INDEX('4'!$F$4:$F$103,MATCH($A192,'4'!$C$4:$C$103,0)),"")&lt;&gt;"",IFERROR(INDEX('4'!$F$4:$F$103,MATCH($A192,'4'!$C$4:$C$103,0)),""),IFERROR(INDEX('5'!$F$4:$F$103,MATCH($A192,'5'!$C$4:$C$103,0)),""))))))</f>
        <v/>
      </c>
      <c r="C192" s="13" t="str">
        <f>IF($A192="","",IF(IFERROR(INDEX(Barneveld!$D$4:$D$36,MATCH($A192,Barneveld!$C$4:$C$36,0)),"")&lt;&gt;"",IFERROR(INDEX(Barneveld!$D$4:$D$36,MATCH($A192,Barneveld!$C$4:$C$36,0)),""),IF(IFERROR(INDEX(Baarn!$E$4:$E$38,MATCH($A192,Baarn!$C$4:$C$38,0)),"")&lt;&gt;"",IFERROR(INDEX(Baarn!$E$4:$E$38,MATCH($A192,Baarn!$C$4:$C$38,0)),""),IF(IFERROR(INDEX(Scherpenzeel!$E$4:$E$103,MATCH($A192,Scherpenzeel!$C$4:$C$103,0)),"")&lt;&gt;"",IFERROR(INDEX(Scherpenzeel!$E$4:$E$103,MATCH($A192,Scherpenzeel!$C$4:$C$103,0)),""),IF(IFERROR(INDEX('4'!$E$4:$E$103,MATCH($A192,'4'!$C$4:$C$103,0)),"")&lt;&gt;"",IFERROR(INDEX('4'!$E$4:$E$103,MATCH($A192,'4'!$C$4:$C$103,0)),""),IFERROR(INDEX('5'!$E$4:$E$103,MATCH($A192,'5'!$C$4:$C$103,0)),""))))))</f>
        <v/>
      </c>
      <c r="D192" s="24" t="str">
        <f>IF($A192="","",IFERROR(INDEX(Barneveld!$A$4:$A$36,MATCH($A192,Barneveld!$C$4:$C$36,0)),""))</f>
        <v/>
      </c>
      <c r="E192" s="15">
        <f>IF($A192="",0,IFERROR(INDEX(Barneveld!$H$4:$H$36,MATCH($A192,Barneveld!$C$4:$C$36,0)),0))</f>
        <v>0</v>
      </c>
      <c r="F192" s="24" t="str">
        <f>IF($A192="","",IFERROR(INDEX(Baarn!$A$4:$A$38,MATCH($A192,Baarn!$C$4:$C$38,0)),""))</f>
        <v/>
      </c>
      <c r="G192" s="15">
        <f>IF($A192="",0,IFERROR(INDEX(Baarn!$I$4:$I$38,MATCH($A192,Baarn!$C$4:$C$38,0)),0))</f>
        <v>0</v>
      </c>
      <c r="H192" s="24" t="str">
        <f>IF($A192="","",IFERROR(INDEX(Scherpenzeel!$A$4:$A$103,MATCH($A192,Scherpenzeel!$C$4:$C$103,0)),""))</f>
        <v/>
      </c>
      <c r="I192" s="15">
        <f>IF($A192="",0,IFERROR(INDEX(Scherpenzeel!$I$4:$I$103,MATCH($A192,Scherpenzeel!$C$4:$C$103,0)),0))</f>
        <v>0</v>
      </c>
      <c r="J192" s="24" t="str">
        <f>IF($A192="","",IFERROR(INDEX('4'!$A$4:$A$103,MATCH($A192,'4'!$C$4:$C$103,0)),""))</f>
        <v/>
      </c>
      <c r="K192" s="15">
        <f>IF($A192="",0,IFERROR(INDEX('4'!$I$4:$I$103,MATCH($A192,'4'!$C$4:$C$103,0)),0))</f>
        <v>0</v>
      </c>
      <c r="L192" s="24" t="str">
        <f>IF($A192="","",IFERROR(INDEX('5'!$A$4:$A$103,MATCH($A192,'5'!$C$4:$C$103,0)),""))</f>
        <v/>
      </c>
      <c r="M192" s="15">
        <f>IF($A192="",0,IFERROR(INDEX('5'!$I$4:$I$103,MATCH($A192,'5'!$C$4:$C$103,0)),0))</f>
        <v>0</v>
      </c>
      <c r="N192" s="25" t="str">
        <f>IF($A192="","",E192+G192+I192+K192+M192)</f>
        <v/>
      </c>
      <c r="O192" s="26" t="str">
        <f>IF(OR($A192="",N192="",N192=0),"",RANK(N192,$N$4:$N$203,0))</f>
        <v/>
      </c>
      <c r="AA192">
        <f>'4'!C27</f>
        <v>0</v>
      </c>
      <c r="AB192">
        <f>IF(AA192="",0,IF(COUNTIF($AA$1:AA192,AA192)=1,1,0))</f>
        <v>0</v>
      </c>
      <c r="AC192" t="str">
        <f>IF(AB192=1,COUNTIF($AB$1:AB192,1),"")</f>
        <v/>
      </c>
    </row>
    <row r="193" spans="1:29" x14ac:dyDescent="0.25">
      <c r="A193" s="13" t="str">
        <f>IFERROR(INDEX($AA$1:$AA$368,MATCH(190,$AC$1:$AC$368,0)),"")</f>
        <v/>
      </c>
      <c r="B193" s="13" t="str">
        <f>IF($A193="","",IF(IFERROR(INDEX(Barneveld!$E$4:$E$36,MATCH($A193,Barneveld!$C$4:$C$36,0)),"")&lt;&gt;"",IFERROR(INDEX(Barneveld!$E$4:$E$36,MATCH($A193,Barneveld!$C$4:$C$36,0)),""),IF(IFERROR(INDEX(Baarn!$F$4:$F$38,MATCH($A193,Baarn!$C$4:$C$38,0)),"")&lt;&gt;"",IFERROR(INDEX(Baarn!$F$4:$F$38,MATCH($A193,Baarn!$C$4:$C$38,0)),""),IF(IFERROR(INDEX(Scherpenzeel!$F$4:$F$103,MATCH($A193,Scherpenzeel!$C$4:$C$103,0)),"")&lt;&gt;"",IFERROR(INDEX(Scherpenzeel!$F$4:$F$103,MATCH($A193,Scherpenzeel!$C$4:$C$103,0)),""),IF(IFERROR(INDEX('4'!$F$4:$F$103,MATCH($A193,'4'!$C$4:$C$103,0)),"")&lt;&gt;"",IFERROR(INDEX('4'!$F$4:$F$103,MATCH($A193,'4'!$C$4:$C$103,0)),""),IFERROR(INDEX('5'!$F$4:$F$103,MATCH($A193,'5'!$C$4:$C$103,0)),""))))))</f>
        <v/>
      </c>
      <c r="C193" s="13" t="str">
        <f>IF($A193="","",IF(IFERROR(INDEX(Barneveld!$D$4:$D$36,MATCH($A193,Barneveld!$C$4:$C$36,0)),"")&lt;&gt;"",IFERROR(INDEX(Barneveld!$D$4:$D$36,MATCH($A193,Barneveld!$C$4:$C$36,0)),""),IF(IFERROR(INDEX(Baarn!$E$4:$E$38,MATCH($A193,Baarn!$C$4:$C$38,0)),"")&lt;&gt;"",IFERROR(INDEX(Baarn!$E$4:$E$38,MATCH($A193,Baarn!$C$4:$C$38,0)),""),IF(IFERROR(INDEX(Scherpenzeel!$E$4:$E$103,MATCH($A193,Scherpenzeel!$C$4:$C$103,0)),"")&lt;&gt;"",IFERROR(INDEX(Scherpenzeel!$E$4:$E$103,MATCH($A193,Scherpenzeel!$C$4:$C$103,0)),""),IF(IFERROR(INDEX('4'!$E$4:$E$103,MATCH($A193,'4'!$C$4:$C$103,0)),"")&lt;&gt;"",IFERROR(INDEX('4'!$E$4:$E$103,MATCH($A193,'4'!$C$4:$C$103,0)),""),IFERROR(INDEX('5'!$E$4:$E$103,MATCH($A193,'5'!$C$4:$C$103,0)),""))))))</f>
        <v/>
      </c>
      <c r="D193" s="24" t="str">
        <f>IF($A193="","",IFERROR(INDEX(Barneveld!$A$4:$A$36,MATCH($A193,Barneveld!$C$4:$C$36,0)),""))</f>
        <v/>
      </c>
      <c r="E193" s="15">
        <f>IF($A193="",0,IFERROR(INDEX(Barneveld!$H$4:$H$36,MATCH($A193,Barneveld!$C$4:$C$36,0)),0))</f>
        <v>0</v>
      </c>
      <c r="F193" s="24" t="str">
        <f>IF($A193="","",IFERROR(INDEX(Baarn!$A$4:$A$38,MATCH($A193,Baarn!$C$4:$C$38,0)),""))</f>
        <v/>
      </c>
      <c r="G193" s="15">
        <f>IF($A193="",0,IFERROR(INDEX(Baarn!$I$4:$I$38,MATCH($A193,Baarn!$C$4:$C$38,0)),0))</f>
        <v>0</v>
      </c>
      <c r="H193" s="24" t="str">
        <f>IF($A193="","",IFERROR(INDEX(Scherpenzeel!$A$4:$A$103,MATCH($A193,Scherpenzeel!$C$4:$C$103,0)),""))</f>
        <v/>
      </c>
      <c r="I193" s="15">
        <f>IF($A193="",0,IFERROR(INDEX(Scherpenzeel!$I$4:$I$103,MATCH($A193,Scherpenzeel!$C$4:$C$103,0)),0))</f>
        <v>0</v>
      </c>
      <c r="J193" s="24" t="str">
        <f>IF($A193="","",IFERROR(INDEX('4'!$A$4:$A$103,MATCH($A193,'4'!$C$4:$C$103,0)),""))</f>
        <v/>
      </c>
      <c r="K193" s="15">
        <f>IF($A193="",0,IFERROR(INDEX('4'!$I$4:$I$103,MATCH($A193,'4'!$C$4:$C$103,0)),0))</f>
        <v>0</v>
      </c>
      <c r="L193" s="24" t="str">
        <f>IF($A193="","",IFERROR(INDEX('5'!$A$4:$A$103,MATCH($A193,'5'!$C$4:$C$103,0)),""))</f>
        <v/>
      </c>
      <c r="M193" s="15">
        <f>IF($A193="",0,IFERROR(INDEX('5'!$I$4:$I$103,MATCH($A193,'5'!$C$4:$C$103,0)),0))</f>
        <v>0</v>
      </c>
      <c r="N193" s="25" t="str">
        <f>IF($A193="","",E193+G193+I193+K193+M193)</f>
        <v/>
      </c>
      <c r="O193" s="26" t="str">
        <f>IF(OR($A193="",N193="",N193=0),"",RANK(N193,$N$4:$N$203,0))</f>
        <v/>
      </c>
      <c r="AA193">
        <f>'4'!C28</f>
        <v>0</v>
      </c>
      <c r="AB193">
        <f>IF(AA193="",0,IF(COUNTIF($AA$1:AA193,AA193)=1,1,0))</f>
        <v>0</v>
      </c>
      <c r="AC193" t="str">
        <f>IF(AB193=1,COUNTIF($AB$1:AB193,1),"")</f>
        <v/>
      </c>
    </row>
    <row r="194" spans="1:29" x14ac:dyDescent="0.25">
      <c r="A194" s="13" t="str">
        <f>IFERROR(INDEX($AA$1:$AA$368,MATCH(191,$AC$1:$AC$368,0)),"")</f>
        <v/>
      </c>
      <c r="B194" s="13" t="str">
        <f>IF($A194="","",IF(IFERROR(INDEX(Barneveld!$E$4:$E$36,MATCH($A194,Barneveld!$C$4:$C$36,0)),"")&lt;&gt;"",IFERROR(INDEX(Barneveld!$E$4:$E$36,MATCH($A194,Barneveld!$C$4:$C$36,0)),""),IF(IFERROR(INDEX(Baarn!$F$4:$F$38,MATCH($A194,Baarn!$C$4:$C$38,0)),"")&lt;&gt;"",IFERROR(INDEX(Baarn!$F$4:$F$38,MATCH($A194,Baarn!$C$4:$C$38,0)),""),IF(IFERROR(INDEX(Scherpenzeel!$F$4:$F$103,MATCH($A194,Scherpenzeel!$C$4:$C$103,0)),"")&lt;&gt;"",IFERROR(INDEX(Scherpenzeel!$F$4:$F$103,MATCH($A194,Scherpenzeel!$C$4:$C$103,0)),""),IF(IFERROR(INDEX('4'!$F$4:$F$103,MATCH($A194,'4'!$C$4:$C$103,0)),"")&lt;&gt;"",IFERROR(INDEX('4'!$F$4:$F$103,MATCH($A194,'4'!$C$4:$C$103,0)),""),IFERROR(INDEX('5'!$F$4:$F$103,MATCH($A194,'5'!$C$4:$C$103,0)),""))))))</f>
        <v/>
      </c>
      <c r="C194" s="13" t="str">
        <f>IF($A194="","",IF(IFERROR(INDEX(Barneveld!$D$4:$D$36,MATCH($A194,Barneveld!$C$4:$C$36,0)),"")&lt;&gt;"",IFERROR(INDEX(Barneveld!$D$4:$D$36,MATCH($A194,Barneveld!$C$4:$C$36,0)),""),IF(IFERROR(INDEX(Baarn!$E$4:$E$38,MATCH($A194,Baarn!$C$4:$C$38,0)),"")&lt;&gt;"",IFERROR(INDEX(Baarn!$E$4:$E$38,MATCH($A194,Baarn!$C$4:$C$38,0)),""),IF(IFERROR(INDEX(Scherpenzeel!$E$4:$E$103,MATCH($A194,Scherpenzeel!$C$4:$C$103,0)),"")&lt;&gt;"",IFERROR(INDEX(Scherpenzeel!$E$4:$E$103,MATCH($A194,Scherpenzeel!$C$4:$C$103,0)),""),IF(IFERROR(INDEX('4'!$E$4:$E$103,MATCH($A194,'4'!$C$4:$C$103,0)),"")&lt;&gt;"",IFERROR(INDEX('4'!$E$4:$E$103,MATCH($A194,'4'!$C$4:$C$103,0)),""),IFERROR(INDEX('5'!$E$4:$E$103,MATCH($A194,'5'!$C$4:$C$103,0)),""))))))</f>
        <v/>
      </c>
      <c r="D194" s="24" t="str">
        <f>IF($A194="","",IFERROR(INDEX(Barneveld!$A$4:$A$36,MATCH($A194,Barneveld!$C$4:$C$36,0)),""))</f>
        <v/>
      </c>
      <c r="E194" s="15">
        <f>IF($A194="",0,IFERROR(INDEX(Barneveld!$H$4:$H$36,MATCH($A194,Barneveld!$C$4:$C$36,0)),0))</f>
        <v>0</v>
      </c>
      <c r="F194" s="24" t="str">
        <f>IF($A194="","",IFERROR(INDEX(Baarn!$A$4:$A$38,MATCH($A194,Baarn!$C$4:$C$38,0)),""))</f>
        <v/>
      </c>
      <c r="G194" s="15">
        <f>IF($A194="",0,IFERROR(INDEX(Baarn!$I$4:$I$38,MATCH($A194,Baarn!$C$4:$C$38,0)),0))</f>
        <v>0</v>
      </c>
      <c r="H194" s="24" t="str">
        <f>IF($A194="","",IFERROR(INDEX(Scherpenzeel!$A$4:$A$103,MATCH($A194,Scherpenzeel!$C$4:$C$103,0)),""))</f>
        <v/>
      </c>
      <c r="I194" s="15">
        <f>IF($A194="",0,IFERROR(INDEX(Scherpenzeel!$I$4:$I$103,MATCH($A194,Scherpenzeel!$C$4:$C$103,0)),0))</f>
        <v>0</v>
      </c>
      <c r="J194" s="24" t="str">
        <f>IF($A194="","",IFERROR(INDEX('4'!$A$4:$A$103,MATCH($A194,'4'!$C$4:$C$103,0)),""))</f>
        <v/>
      </c>
      <c r="K194" s="15">
        <f>IF($A194="",0,IFERROR(INDEX('4'!$I$4:$I$103,MATCH($A194,'4'!$C$4:$C$103,0)),0))</f>
        <v>0</v>
      </c>
      <c r="L194" s="24" t="str">
        <f>IF($A194="","",IFERROR(INDEX('5'!$A$4:$A$103,MATCH($A194,'5'!$C$4:$C$103,0)),""))</f>
        <v/>
      </c>
      <c r="M194" s="15">
        <f>IF($A194="",0,IFERROR(INDEX('5'!$I$4:$I$103,MATCH($A194,'5'!$C$4:$C$103,0)),0))</f>
        <v>0</v>
      </c>
      <c r="N194" s="25" t="str">
        <f>IF($A194="","",E194+G194+I194+K194+M194)</f>
        <v/>
      </c>
      <c r="O194" s="26" t="str">
        <f>IF(OR($A194="",N194="",N194=0),"",RANK(N194,$N$4:$N$203,0))</f>
        <v/>
      </c>
      <c r="AA194">
        <f>'4'!C29</f>
        <v>0</v>
      </c>
      <c r="AB194">
        <f>IF(AA194="",0,IF(COUNTIF($AA$1:AA194,AA194)=1,1,0))</f>
        <v>0</v>
      </c>
      <c r="AC194" t="str">
        <f>IF(AB194=1,COUNTIF($AB$1:AB194,1),"")</f>
        <v/>
      </c>
    </row>
    <row r="195" spans="1:29" x14ac:dyDescent="0.25">
      <c r="A195" s="13" t="str">
        <f>IFERROR(INDEX($AA$1:$AA$368,MATCH(192,$AC$1:$AC$368,0)),"")</f>
        <v/>
      </c>
      <c r="B195" s="13" t="str">
        <f>IF($A195="","",IF(IFERROR(INDEX(Barneveld!$E$4:$E$36,MATCH($A195,Barneveld!$C$4:$C$36,0)),"")&lt;&gt;"",IFERROR(INDEX(Barneveld!$E$4:$E$36,MATCH($A195,Barneveld!$C$4:$C$36,0)),""),IF(IFERROR(INDEX(Baarn!$F$4:$F$38,MATCH($A195,Baarn!$C$4:$C$38,0)),"")&lt;&gt;"",IFERROR(INDEX(Baarn!$F$4:$F$38,MATCH($A195,Baarn!$C$4:$C$38,0)),""),IF(IFERROR(INDEX(Scherpenzeel!$F$4:$F$103,MATCH($A195,Scherpenzeel!$C$4:$C$103,0)),"")&lt;&gt;"",IFERROR(INDEX(Scherpenzeel!$F$4:$F$103,MATCH($A195,Scherpenzeel!$C$4:$C$103,0)),""),IF(IFERROR(INDEX('4'!$F$4:$F$103,MATCH($A195,'4'!$C$4:$C$103,0)),"")&lt;&gt;"",IFERROR(INDEX('4'!$F$4:$F$103,MATCH($A195,'4'!$C$4:$C$103,0)),""),IFERROR(INDEX('5'!$F$4:$F$103,MATCH($A195,'5'!$C$4:$C$103,0)),""))))))</f>
        <v/>
      </c>
      <c r="C195" s="13" t="str">
        <f>IF($A195="","",IF(IFERROR(INDEX(Barneveld!$D$4:$D$36,MATCH($A195,Barneveld!$C$4:$C$36,0)),"")&lt;&gt;"",IFERROR(INDEX(Barneveld!$D$4:$D$36,MATCH($A195,Barneveld!$C$4:$C$36,0)),""),IF(IFERROR(INDEX(Baarn!$E$4:$E$38,MATCH($A195,Baarn!$C$4:$C$38,0)),"")&lt;&gt;"",IFERROR(INDEX(Baarn!$E$4:$E$38,MATCH($A195,Baarn!$C$4:$C$38,0)),""),IF(IFERROR(INDEX(Scherpenzeel!$E$4:$E$103,MATCH($A195,Scherpenzeel!$C$4:$C$103,0)),"")&lt;&gt;"",IFERROR(INDEX(Scherpenzeel!$E$4:$E$103,MATCH($A195,Scherpenzeel!$C$4:$C$103,0)),""),IF(IFERROR(INDEX('4'!$E$4:$E$103,MATCH($A195,'4'!$C$4:$C$103,0)),"")&lt;&gt;"",IFERROR(INDEX('4'!$E$4:$E$103,MATCH($A195,'4'!$C$4:$C$103,0)),""),IFERROR(INDEX('5'!$E$4:$E$103,MATCH($A195,'5'!$C$4:$C$103,0)),""))))))</f>
        <v/>
      </c>
      <c r="D195" s="24" t="str">
        <f>IF($A195="","",IFERROR(INDEX(Barneveld!$A$4:$A$36,MATCH($A195,Barneveld!$C$4:$C$36,0)),""))</f>
        <v/>
      </c>
      <c r="E195" s="15">
        <f>IF($A195="",0,IFERROR(INDEX(Barneveld!$H$4:$H$36,MATCH($A195,Barneveld!$C$4:$C$36,0)),0))</f>
        <v>0</v>
      </c>
      <c r="F195" s="24" t="str">
        <f>IF($A195="","",IFERROR(INDEX(Baarn!$A$4:$A$38,MATCH($A195,Baarn!$C$4:$C$38,0)),""))</f>
        <v/>
      </c>
      <c r="G195" s="15">
        <f>IF($A195="",0,IFERROR(INDEX(Baarn!$I$4:$I$38,MATCH($A195,Baarn!$C$4:$C$38,0)),0))</f>
        <v>0</v>
      </c>
      <c r="H195" s="24" t="str">
        <f>IF($A195="","",IFERROR(INDEX(Scherpenzeel!$A$4:$A$103,MATCH($A195,Scherpenzeel!$C$4:$C$103,0)),""))</f>
        <v/>
      </c>
      <c r="I195" s="15">
        <f>IF($A195="",0,IFERROR(INDEX(Scherpenzeel!$I$4:$I$103,MATCH($A195,Scherpenzeel!$C$4:$C$103,0)),0))</f>
        <v>0</v>
      </c>
      <c r="J195" s="24" t="str">
        <f>IF($A195="","",IFERROR(INDEX('4'!$A$4:$A$103,MATCH($A195,'4'!$C$4:$C$103,0)),""))</f>
        <v/>
      </c>
      <c r="K195" s="15">
        <f>IF($A195="",0,IFERROR(INDEX('4'!$I$4:$I$103,MATCH($A195,'4'!$C$4:$C$103,0)),0))</f>
        <v>0</v>
      </c>
      <c r="L195" s="24" t="str">
        <f>IF($A195="","",IFERROR(INDEX('5'!$A$4:$A$103,MATCH($A195,'5'!$C$4:$C$103,0)),""))</f>
        <v/>
      </c>
      <c r="M195" s="15">
        <f>IF($A195="",0,IFERROR(INDEX('5'!$I$4:$I$103,MATCH($A195,'5'!$C$4:$C$103,0)),0))</f>
        <v>0</v>
      </c>
      <c r="N195" s="25" t="str">
        <f>IF($A195="","",E195+G195+I195+K195+M195)</f>
        <v/>
      </c>
      <c r="O195" s="26" t="str">
        <f>IF(OR($A195="",N195="",N195=0),"",RANK(N195,$N$4:$N$203,0))</f>
        <v/>
      </c>
      <c r="AA195">
        <f>'4'!C30</f>
        <v>0</v>
      </c>
      <c r="AB195">
        <f>IF(AA195="",0,IF(COUNTIF($AA$1:AA195,AA195)=1,1,0))</f>
        <v>0</v>
      </c>
      <c r="AC195" t="str">
        <f>IF(AB195=1,COUNTIF($AB$1:AB195,1),"")</f>
        <v/>
      </c>
    </row>
    <row r="196" spans="1:29" x14ac:dyDescent="0.25">
      <c r="A196" s="13" t="str">
        <f>IFERROR(INDEX($AA$1:$AA$368,MATCH(193,$AC$1:$AC$368,0)),"")</f>
        <v/>
      </c>
      <c r="B196" s="13" t="str">
        <f>IF($A196="","",IF(IFERROR(INDEX(Barneveld!$E$4:$E$36,MATCH($A196,Barneveld!$C$4:$C$36,0)),"")&lt;&gt;"",IFERROR(INDEX(Barneveld!$E$4:$E$36,MATCH($A196,Barneveld!$C$4:$C$36,0)),""),IF(IFERROR(INDEX(Baarn!$F$4:$F$38,MATCH($A196,Baarn!$C$4:$C$38,0)),"")&lt;&gt;"",IFERROR(INDEX(Baarn!$F$4:$F$38,MATCH($A196,Baarn!$C$4:$C$38,0)),""),IF(IFERROR(INDEX(Scherpenzeel!$F$4:$F$103,MATCH($A196,Scherpenzeel!$C$4:$C$103,0)),"")&lt;&gt;"",IFERROR(INDEX(Scherpenzeel!$F$4:$F$103,MATCH($A196,Scherpenzeel!$C$4:$C$103,0)),""),IF(IFERROR(INDEX('4'!$F$4:$F$103,MATCH($A196,'4'!$C$4:$C$103,0)),"")&lt;&gt;"",IFERROR(INDEX('4'!$F$4:$F$103,MATCH($A196,'4'!$C$4:$C$103,0)),""),IFERROR(INDEX('5'!$F$4:$F$103,MATCH($A196,'5'!$C$4:$C$103,0)),""))))))</f>
        <v/>
      </c>
      <c r="C196" s="13" t="str">
        <f>IF($A196="","",IF(IFERROR(INDEX(Barneveld!$D$4:$D$36,MATCH($A196,Barneveld!$C$4:$C$36,0)),"")&lt;&gt;"",IFERROR(INDEX(Barneveld!$D$4:$D$36,MATCH($A196,Barneveld!$C$4:$C$36,0)),""),IF(IFERROR(INDEX(Baarn!$E$4:$E$38,MATCH($A196,Baarn!$C$4:$C$38,0)),"")&lt;&gt;"",IFERROR(INDEX(Baarn!$E$4:$E$38,MATCH($A196,Baarn!$C$4:$C$38,0)),""),IF(IFERROR(INDEX(Scherpenzeel!$E$4:$E$103,MATCH($A196,Scherpenzeel!$C$4:$C$103,0)),"")&lt;&gt;"",IFERROR(INDEX(Scherpenzeel!$E$4:$E$103,MATCH($A196,Scherpenzeel!$C$4:$C$103,0)),""),IF(IFERROR(INDEX('4'!$E$4:$E$103,MATCH($A196,'4'!$C$4:$C$103,0)),"")&lt;&gt;"",IFERROR(INDEX('4'!$E$4:$E$103,MATCH($A196,'4'!$C$4:$C$103,0)),""),IFERROR(INDEX('5'!$E$4:$E$103,MATCH($A196,'5'!$C$4:$C$103,0)),""))))))</f>
        <v/>
      </c>
      <c r="D196" s="24" t="str">
        <f>IF($A196="","",IFERROR(INDEX(Barneveld!$A$4:$A$36,MATCH($A196,Barneveld!$C$4:$C$36,0)),""))</f>
        <v/>
      </c>
      <c r="E196" s="15">
        <f>IF($A196="",0,IFERROR(INDEX(Barneveld!$H$4:$H$36,MATCH($A196,Barneveld!$C$4:$C$36,0)),0))</f>
        <v>0</v>
      </c>
      <c r="F196" s="24" t="str">
        <f>IF($A196="","",IFERROR(INDEX(Baarn!$A$4:$A$38,MATCH($A196,Baarn!$C$4:$C$38,0)),""))</f>
        <v/>
      </c>
      <c r="G196" s="15">
        <f>IF($A196="",0,IFERROR(INDEX(Baarn!$I$4:$I$38,MATCH($A196,Baarn!$C$4:$C$38,0)),0))</f>
        <v>0</v>
      </c>
      <c r="H196" s="24" t="str">
        <f>IF($A196="","",IFERROR(INDEX(Scherpenzeel!$A$4:$A$103,MATCH($A196,Scherpenzeel!$C$4:$C$103,0)),""))</f>
        <v/>
      </c>
      <c r="I196" s="15">
        <f>IF($A196="",0,IFERROR(INDEX(Scherpenzeel!$I$4:$I$103,MATCH($A196,Scherpenzeel!$C$4:$C$103,0)),0))</f>
        <v>0</v>
      </c>
      <c r="J196" s="24" t="str">
        <f>IF($A196="","",IFERROR(INDEX('4'!$A$4:$A$103,MATCH($A196,'4'!$C$4:$C$103,0)),""))</f>
        <v/>
      </c>
      <c r="K196" s="15">
        <f>IF($A196="",0,IFERROR(INDEX('4'!$I$4:$I$103,MATCH($A196,'4'!$C$4:$C$103,0)),0))</f>
        <v>0</v>
      </c>
      <c r="L196" s="24" t="str">
        <f>IF($A196="","",IFERROR(INDEX('5'!$A$4:$A$103,MATCH($A196,'5'!$C$4:$C$103,0)),""))</f>
        <v/>
      </c>
      <c r="M196" s="15">
        <f>IF($A196="",0,IFERROR(INDEX('5'!$I$4:$I$103,MATCH($A196,'5'!$C$4:$C$103,0)),0))</f>
        <v>0</v>
      </c>
      <c r="N196" s="25" t="str">
        <f>IF($A196="","",E196+G196+I196+K196+M196)</f>
        <v/>
      </c>
      <c r="O196" s="26" t="str">
        <f>IF(OR($A196="",N196="",N196=0),"",RANK(N196,$N$4:$N$203,0))</f>
        <v/>
      </c>
      <c r="AA196">
        <f>'4'!C31</f>
        <v>0</v>
      </c>
      <c r="AB196">
        <f>IF(AA196="",0,IF(COUNTIF($AA$1:AA196,AA196)=1,1,0))</f>
        <v>0</v>
      </c>
      <c r="AC196" t="str">
        <f>IF(AB196=1,COUNTIF($AB$1:AB196,1),"")</f>
        <v/>
      </c>
    </row>
    <row r="197" spans="1:29" x14ac:dyDescent="0.25">
      <c r="A197" s="13" t="str">
        <f>IFERROR(INDEX($AA$1:$AA$368,MATCH(194,$AC$1:$AC$368,0)),"")</f>
        <v/>
      </c>
      <c r="B197" s="13" t="str">
        <f>IF($A197="","",IF(IFERROR(INDEX(Barneveld!$E$4:$E$36,MATCH($A197,Barneveld!$C$4:$C$36,0)),"")&lt;&gt;"",IFERROR(INDEX(Barneveld!$E$4:$E$36,MATCH($A197,Barneveld!$C$4:$C$36,0)),""),IF(IFERROR(INDEX(Baarn!$F$4:$F$38,MATCH($A197,Baarn!$C$4:$C$38,0)),"")&lt;&gt;"",IFERROR(INDEX(Baarn!$F$4:$F$38,MATCH($A197,Baarn!$C$4:$C$38,0)),""),IF(IFERROR(INDEX(Scherpenzeel!$F$4:$F$103,MATCH($A197,Scherpenzeel!$C$4:$C$103,0)),"")&lt;&gt;"",IFERROR(INDEX(Scherpenzeel!$F$4:$F$103,MATCH($A197,Scherpenzeel!$C$4:$C$103,0)),""),IF(IFERROR(INDEX('4'!$F$4:$F$103,MATCH($A197,'4'!$C$4:$C$103,0)),"")&lt;&gt;"",IFERROR(INDEX('4'!$F$4:$F$103,MATCH($A197,'4'!$C$4:$C$103,0)),""),IFERROR(INDEX('5'!$F$4:$F$103,MATCH($A197,'5'!$C$4:$C$103,0)),""))))))</f>
        <v/>
      </c>
      <c r="C197" s="13" t="str">
        <f>IF($A197="","",IF(IFERROR(INDEX(Barneveld!$D$4:$D$36,MATCH($A197,Barneveld!$C$4:$C$36,0)),"")&lt;&gt;"",IFERROR(INDEX(Barneveld!$D$4:$D$36,MATCH($A197,Barneveld!$C$4:$C$36,0)),""),IF(IFERROR(INDEX(Baarn!$E$4:$E$38,MATCH($A197,Baarn!$C$4:$C$38,0)),"")&lt;&gt;"",IFERROR(INDEX(Baarn!$E$4:$E$38,MATCH($A197,Baarn!$C$4:$C$38,0)),""),IF(IFERROR(INDEX(Scherpenzeel!$E$4:$E$103,MATCH($A197,Scherpenzeel!$C$4:$C$103,0)),"")&lt;&gt;"",IFERROR(INDEX(Scherpenzeel!$E$4:$E$103,MATCH($A197,Scherpenzeel!$C$4:$C$103,0)),""),IF(IFERROR(INDEX('4'!$E$4:$E$103,MATCH($A197,'4'!$C$4:$C$103,0)),"")&lt;&gt;"",IFERROR(INDEX('4'!$E$4:$E$103,MATCH($A197,'4'!$C$4:$C$103,0)),""),IFERROR(INDEX('5'!$E$4:$E$103,MATCH($A197,'5'!$C$4:$C$103,0)),""))))))</f>
        <v/>
      </c>
      <c r="D197" s="24" t="str">
        <f>IF($A197="","",IFERROR(INDEX(Barneveld!$A$4:$A$36,MATCH($A197,Barneveld!$C$4:$C$36,0)),""))</f>
        <v/>
      </c>
      <c r="E197" s="15">
        <f>IF($A197="",0,IFERROR(INDEX(Barneveld!$H$4:$H$36,MATCH($A197,Barneveld!$C$4:$C$36,0)),0))</f>
        <v>0</v>
      </c>
      <c r="F197" s="24" t="str">
        <f>IF($A197="","",IFERROR(INDEX(Baarn!$A$4:$A$38,MATCH($A197,Baarn!$C$4:$C$38,0)),""))</f>
        <v/>
      </c>
      <c r="G197" s="15">
        <f>IF($A197="",0,IFERROR(INDEX(Baarn!$I$4:$I$38,MATCH($A197,Baarn!$C$4:$C$38,0)),0))</f>
        <v>0</v>
      </c>
      <c r="H197" s="24" t="str">
        <f>IF($A197="","",IFERROR(INDEX(Scherpenzeel!$A$4:$A$103,MATCH($A197,Scherpenzeel!$C$4:$C$103,0)),""))</f>
        <v/>
      </c>
      <c r="I197" s="15">
        <f>IF($A197="",0,IFERROR(INDEX(Scherpenzeel!$I$4:$I$103,MATCH($A197,Scherpenzeel!$C$4:$C$103,0)),0))</f>
        <v>0</v>
      </c>
      <c r="J197" s="24" t="str">
        <f>IF($A197="","",IFERROR(INDEX('4'!$A$4:$A$103,MATCH($A197,'4'!$C$4:$C$103,0)),""))</f>
        <v/>
      </c>
      <c r="K197" s="15">
        <f>IF($A197="",0,IFERROR(INDEX('4'!$I$4:$I$103,MATCH($A197,'4'!$C$4:$C$103,0)),0))</f>
        <v>0</v>
      </c>
      <c r="L197" s="24" t="str">
        <f>IF($A197="","",IFERROR(INDEX('5'!$A$4:$A$103,MATCH($A197,'5'!$C$4:$C$103,0)),""))</f>
        <v/>
      </c>
      <c r="M197" s="15">
        <f>IF($A197="",0,IFERROR(INDEX('5'!$I$4:$I$103,MATCH($A197,'5'!$C$4:$C$103,0)),0))</f>
        <v>0</v>
      </c>
      <c r="N197" s="25" t="str">
        <f>IF($A197="","",E197+G197+I197+K197+M197)</f>
        <v/>
      </c>
      <c r="O197" s="26" t="str">
        <f>IF(OR($A197="",N197="",N197=0),"",RANK(N197,$N$4:$N$203,0))</f>
        <v/>
      </c>
      <c r="AA197">
        <f>'4'!C32</f>
        <v>0</v>
      </c>
      <c r="AB197">
        <f>IF(AA197="",0,IF(COUNTIF($AA$1:AA197,AA197)=1,1,0))</f>
        <v>0</v>
      </c>
      <c r="AC197" t="str">
        <f>IF(AB197=1,COUNTIF($AB$1:AB197,1),"")</f>
        <v/>
      </c>
    </row>
    <row r="198" spans="1:29" x14ac:dyDescent="0.25">
      <c r="A198" s="13" t="str">
        <f>IFERROR(INDEX($AA$1:$AA$368,MATCH(195,$AC$1:$AC$368,0)),"")</f>
        <v/>
      </c>
      <c r="B198" s="13" t="str">
        <f>IF($A198="","",IF(IFERROR(INDEX(Barneveld!$E$4:$E$36,MATCH($A198,Barneveld!$C$4:$C$36,0)),"")&lt;&gt;"",IFERROR(INDEX(Barneveld!$E$4:$E$36,MATCH($A198,Barneveld!$C$4:$C$36,0)),""),IF(IFERROR(INDEX(Baarn!$F$4:$F$38,MATCH($A198,Baarn!$C$4:$C$38,0)),"")&lt;&gt;"",IFERROR(INDEX(Baarn!$F$4:$F$38,MATCH($A198,Baarn!$C$4:$C$38,0)),""),IF(IFERROR(INDEX(Scherpenzeel!$F$4:$F$103,MATCH($A198,Scherpenzeel!$C$4:$C$103,0)),"")&lt;&gt;"",IFERROR(INDEX(Scherpenzeel!$F$4:$F$103,MATCH($A198,Scherpenzeel!$C$4:$C$103,0)),""),IF(IFERROR(INDEX('4'!$F$4:$F$103,MATCH($A198,'4'!$C$4:$C$103,0)),"")&lt;&gt;"",IFERROR(INDEX('4'!$F$4:$F$103,MATCH($A198,'4'!$C$4:$C$103,0)),""),IFERROR(INDEX('5'!$F$4:$F$103,MATCH($A198,'5'!$C$4:$C$103,0)),""))))))</f>
        <v/>
      </c>
      <c r="C198" s="13" t="str">
        <f>IF($A198="","",IF(IFERROR(INDEX(Barneveld!$D$4:$D$36,MATCH($A198,Barneveld!$C$4:$C$36,0)),"")&lt;&gt;"",IFERROR(INDEX(Barneveld!$D$4:$D$36,MATCH($A198,Barneveld!$C$4:$C$36,0)),""),IF(IFERROR(INDEX(Baarn!$E$4:$E$38,MATCH($A198,Baarn!$C$4:$C$38,0)),"")&lt;&gt;"",IFERROR(INDEX(Baarn!$E$4:$E$38,MATCH($A198,Baarn!$C$4:$C$38,0)),""),IF(IFERROR(INDEX(Scherpenzeel!$E$4:$E$103,MATCH($A198,Scherpenzeel!$C$4:$C$103,0)),"")&lt;&gt;"",IFERROR(INDEX(Scherpenzeel!$E$4:$E$103,MATCH($A198,Scherpenzeel!$C$4:$C$103,0)),""),IF(IFERROR(INDEX('4'!$E$4:$E$103,MATCH($A198,'4'!$C$4:$C$103,0)),"")&lt;&gt;"",IFERROR(INDEX('4'!$E$4:$E$103,MATCH($A198,'4'!$C$4:$C$103,0)),""),IFERROR(INDEX('5'!$E$4:$E$103,MATCH($A198,'5'!$C$4:$C$103,0)),""))))))</f>
        <v/>
      </c>
      <c r="D198" s="24" t="str">
        <f>IF($A198="","",IFERROR(INDEX(Barneveld!$A$4:$A$36,MATCH($A198,Barneveld!$C$4:$C$36,0)),""))</f>
        <v/>
      </c>
      <c r="E198" s="15">
        <f>IF($A198="",0,IFERROR(INDEX(Barneveld!$H$4:$H$36,MATCH($A198,Barneveld!$C$4:$C$36,0)),0))</f>
        <v>0</v>
      </c>
      <c r="F198" s="24" t="str">
        <f>IF($A198="","",IFERROR(INDEX(Baarn!$A$4:$A$38,MATCH($A198,Baarn!$C$4:$C$38,0)),""))</f>
        <v/>
      </c>
      <c r="G198" s="15">
        <f>IF($A198="",0,IFERROR(INDEX(Baarn!$I$4:$I$38,MATCH($A198,Baarn!$C$4:$C$38,0)),0))</f>
        <v>0</v>
      </c>
      <c r="H198" s="24" t="str">
        <f>IF($A198="","",IFERROR(INDEX(Scherpenzeel!$A$4:$A$103,MATCH($A198,Scherpenzeel!$C$4:$C$103,0)),""))</f>
        <v/>
      </c>
      <c r="I198" s="15">
        <f>IF($A198="",0,IFERROR(INDEX(Scherpenzeel!$I$4:$I$103,MATCH($A198,Scherpenzeel!$C$4:$C$103,0)),0))</f>
        <v>0</v>
      </c>
      <c r="J198" s="24" t="str">
        <f>IF($A198="","",IFERROR(INDEX('4'!$A$4:$A$103,MATCH($A198,'4'!$C$4:$C$103,0)),""))</f>
        <v/>
      </c>
      <c r="K198" s="15">
        <f>IF($A198="",0,IFERROR(INDEX('4'!$I$4:$I$103,MATCH($A198,'4'!$C$4:$C$103,0)),0))</f>
        <v>0</v>
      </c>
      <c r="L198" s="24" t="str">
        <f>IF($A198="","",IFERROR(INDEX('5'!$A$4:$A$103,MATCH($A198,'5'!$C$4:$C$103,0)),""))</f>
        <v/>
      </c>
      <c r="M198" s="15">
        <f>IF($A198="",0,IFERROR(INDEX('5'!$I$4:$I$103,MATCH($A198,'5'!$C$4:$C$103,0)),0))</f>
        <v>0</v>
      </c>
      <c r="N198" s="25" t="str">
        <f>IF($A198="","",E198+G198+I198+K198+M198)</f>
        <v/>
      </c>
      <c r="O198" s="26" t="str">
        <f>IF(OR($A198="",N198="",N198=0),"",RANK(N198,$N$4:$N$203,0))</f>
        <v/>
      </c>
      <c r="AA198">
        <f>'4'!C33</f>
        <v>0</v>
      </c>
      <c r="AB198">
        <f>IF(AA198="",0,IF(COUNTIF($AA$1:AA198,AA198)=1,1,0))</f>
        <v>0</v>
      </c>
      <c r="AC198" t="str">
        <f>IF(AB198=1,COUNTIF($AB$1:AB198,1),"")</f>
        <v/>
      </c>
    </row>
    <row r="199" spans="1:29" x14ac:dyDescent="0.25">
      <c r="A199" s="13" t="str">
        <f>IFERROR(INDEX($AA$1:$AA$368,MATCH(196,$AC$1:$AC$368,0)),"")</f>
        <v/>
      </c>
      <c r="B199" s="13" t="str">
        <f>IF($A199="","",IF(IFERROR(INDEX(Barneveld!$E$4:$E$36,MATCH($A199,Barneveld!$C$4:$C$36,0)),"")&lt;&gt;"",IFERROR(INDEX(Barneveld!$E$4:$E$36,MATCH($A199,Barneveld!$C$4:$C$36,0)),""),IF(IFERROR(INDEX(Baarn!$F$4:$F$38,MATCH($A199,Baarn!$C$4:$C$38,0)),"")&lt;&gt;"",IFERROR(INDEX(Baarn!$F$4:$F$38,MATCH($A199,Baarn!$C$4:$C$38,0)),""),IF(IFERROR(INDEX(Scherpenzeel!$F$4:$F$103,MATCH($A199,Scherpenzeel!$C$4:$C$103,0)),"")&lt;&gt;"",IFERROR(INDEX(Scherpenzeel!$F$4:$F$103,MATCH($A199,Scherpenzeel!$C$4:$C$103,0)),""),IF(IFERROR(INDEX('4'!$F$4:$F$103,MATCH($A199,'4'!$C$4:$C$103,0)),"")&lt;&gt;"",IFERROR(INDEX('4'!$F$4:$F$103,MATCH($A199,'4'!$C$4:$C$103,0)),""),IFERROR(INDEX('5'!$F$4:$F$103,MATCH($A199,'5'!$C$4:$C$103,0)),""))))))</f>
        <v/>
      </c>
      <c r="C199" s="13" t="str">
        <f>IF($A199="","",IF(IFERROR(INDEX(Barneveld!$D$4:$D$36,MATCH($A199,Barneveld!$C$4:$C$36,0)),"")&lt;&gt;"",IFERROR(INDEX(Barneveld!$D$4:$D$36,MATCH($A199,Barneveld!$C$4:$C$36,0)),""),IF(IFERROR(INDEX(Baarn!$E$4:$E$38,MATCH($A199,Baarn!$C$4:$C$38,0)),"")&lt;&gt;"",IFERROR(INDEX(Baarn!$E$4:$E$38,MATCH($A199,Baarn!$C$4:$C$38,0)),""),IF(IFERROR(INDEX(Scherpenzeel!$E$4:$E$103,MATCH($A199,Scherpenzeel!$C$4:$C$103,0)),"")&lt;&gt;"",IFERROR(INDEX(Scherpenzeel!$E$4:$E$103,MATCH($A199,Scherpenzeel!$C$4:$C$103,0)),""),IF(IFERROR(INDEX('4'!$E$4:$E$103,MATCH($A199,'4'!$C$4:$C$103,0)),"")&lt;&gt;"",IFERROR(INDEX('4'!$E$4:$E$103,MATCH($A199,'4'!$C$4:$C$103,0)),""),IFERROR(INDEX('5'!$E$4:$E$103,MATCH($A199,'5'!$C$4:$C$103,0)),""))))))</f>
        <v/>
      </c>
      <c r="D199" s="24" t="str">
        <f>IF($A199="","",IFERROR(INDEX(Barneveld!$A$4:$A$36,MATCH($A199,Barneveld!$C$4:$C$36,0)),""))</f>
        <v/>
      </c>
      <c r="E199" s="15">
        <f>IF($A199="",0,IFERROR(INDEX(Barneveld!$H$4:$H$36,MATCH($A199,Barneveld!$C$4:$C$36,0)),0))</f>
        <v>0</v>
      </c>
      <c r="F199" s="24" t="str">
        <f>IF($A199="","",IFERROR(INDEX(Baarn!$A$4:$A$38,MATCH($A199,Baarn!$C$4:$C$38,0)),""))</f>
        <v/>
      </c>
      <c r="G199" s="15">
        <f>IF($A199="",0,IFERROR(INDEX(Baarn!$I$4:$I$38,MATCH($A199,Baarn!$C$4:$C$38,0)),0))</f>
        <v>0</v>
      </c>
      <c r="H199" s="24" t="str">
        <f>IF($A199="","",IFERROR(INDEX(Scherpenzeel!$A$4:$A$103,MATCH($A199,Scherpenzeel!$C$4:$C$103,0)),""))</f>
        <v/>
      </c>
      <c r="I199" s="15">
        <f>IF($A199="",0,IFERROR(INDEX(Scherpenzeel!$I$4:$I$103,MATCH($A199,Scherpenzeel!$C$4:$C$103,0)),0))</f>
        <v>0</v>
      </c>
      <c r="J199" s="24" t="str">
        <f>IF($A199="","",IFERROR(INDEX('4'!$A$4:$A$103,MATCH($A199,'4'!$C$4:$C$103,0)),""))</f>
        <v/>
      </c>
      <c r="K199" s="15">
        <f>IF($A199="",0,IFERROR(INDEX('4'!$I$4:$I$103,MATCH($A199,'4'!$C$4:$C$103,0)),0))</f>
        <v>0</v>
      </c>
      <c r="L199" s="24" t="str">
        <f>IF($A199="","",IFERROR(INDEX('5'!$A$4:$A$103,MATCH($A199,'5'!$C$4:$C$103,0)),""))</f>
        <v/>
      </c>
      <c r="M199" s="15">
        <f>IF($A199="",0,IFERROR(INDEX('5'!$I$4:$I$103,MATCH($A199,'5'!$C$4:$C$103,0)),0))</f>
        <v>0</v>
      </c>
      <c r="N199" s="25" t="str">
        <f>IF($A199="","",E199+G199+I199+K199+M199)</f>
        <v/>
      </c>
      <c r="O199" s="26" t="str">
        <f>IF(OR($A199="",N199="",N199=0),"",RANK(N199,$N$4:$N$203,0))</f>
        <v/>
      </c>
      <c r="AA199">
        <f>'4'!C34</f>
        <v>0</v>
      </c>
      <c r="AB199">
        <f>IF(AA199="",0,IF(COUNTIF($AA$1:AA199,AA199)=1,1,0))</f>
        <v>0</v>
      </c>
      <c r="AC199" t="str">
        <f>IF(AB199=1,COUNTIF($AB$1:AB199,1),"")</f>
        <v/>
      </c>
    </row>
    <row r="200" spans="1:29" x14ac:dyDescent="0.25">
      <c r="A200" s="13" t="str">
        <f>IFERROR(INDEX($AA$1:$AA$368,MATCH(197,$AC$1:$AC$368,0)),"")</f>
        <v/>
      </c>
      <c r="B200" s="13" t="str">
        <f>IF($A200="","",IF(IFERROR(INDEX(Barneveld!$E$4:$E$36,MATCH($A200,Barneveld!$C$4:$C$36,0)),"")&lt;&gt;"",IFERROR(INDEX(Barneveld!$E$4:$E$36,MATCH($A200,Barneveld!$C$4:$C$36,0)),""),IF(IFERROR(INDEX(Baarn!$F$4:$F$38,MATCH($A200,Baarn!$C$4:$C$38,0)),"")&lt;&gt;"",IFERROR(INDEX(Baarn!$F$4:$F$38,MATCH($A200,Baarn!$C$4:$C$38,0)),""),IF(IFERROR(INDEX(Scherpenzeel!$F$4:$F$103,MATCH($A200,Scherpenzeel!$C$4:$C$103,0)),"")&lt;&gt;"",IFERROR(INDEX(Scherpenzeel!$F$4:$F$103,MATCH($A200,Scherpenzeel!$C$4:$C$103,0)),""),IF(IFERROR(INDEX('4'!$F$4:$F$103,MATCH($A200,'4'!$C$4:$C$103,0)),"")&lt;&gt;"",IFERROR(INDEX('4'!$F$4:$F$103,MATCH($A200,'4'!$C$4:$C$103,0)),""),IFERROR(INDEX('5'!$F$4:$F$103,MATCH($A200,'5'!$C$4:$C$103,0)),""))))))</f>
        <v/>
      </c>
      <c r="C200" s="13" t="str">
        <f>IF($A200="","",IF(IFERROR(INDEX(Barneveld!$D$4:$D$36,MATCH($A200,Barneveld!$C$4:$C$36,0)),"")&lt;&gt;"",IFERROR(INDEX(Barneveld!$D$4:$D$36,MATCH($A200,Barneveld!$C$4:$C$36,0)),""),IF(IFERROR(INDEX(Baarn!$E$4:$E$38,MATCH($A200,Baarn!$C$4:$C$38,0)),"")&lt;&gt;"",IFERROR(INDEX(Baarn!$E$4:$E$38,MATCH($A200,Baarn!$C$4:$C$38,0)),""),IF(IFERROR(INDEX(Scherpenzeel!$E$4:$E$103,MATCH($A200,Scherpenzeel!$C$4:$C$103,0)),"")&lt;&gt;"",IFERROR(INDEX(Scherpenzeel!$E$4:$E$103,MATCH($A200,Scherpenzeel!$C$4:$C$103,0)),""),IF(IFERROR(INDEX('4'!$E$4:$E$103,MATCH($A200,'4'!$C$4:$C$103,0)),"")&lt;&gt;"",IFERROR(INDEX('4'!$E$4:$E$103,MATCH($A200,'4'!$C$4:$C$103,0)),""),IFERROR(INDEX('5'!$E$4:$E$103,MATCH($A200,'5'!$C$4:$C$103,0)),""))))))</f>
        <v/>
      </c>
      <c r="D200" s="24" t="str">
        <f>IF($A200="","",IFERROR(INDEX(Barneveld!$A$4:$A$36,MATCH($A200,Barneveld!$C$4:$C$36,0)),""))</f>
        <v/>
      </c>
      <c r="E200" s="15">
        <f>IF($A200="",0,IFERROR(INDEX(Barneveld!$H$4:$H$36,MATCH($A200,Barneveld!$C$4:$C$36,0)),0))</f>
        <v>0</v>
      </c>
      <c r="F200" s="24" t="str">
        <f>IF($A200="","",IFERROR(INDEX(Baarn!$A$4:$A$38,MATCH($A200,Baarn!$C$4:$C$38,0)),""))</f>
        <v/>
      </c>
      <c r="G200" s="15">
        <f>IF($A200="",0,IFERROR(INDEX(Baarn!$I$4:$I$38,MATCH($A200,Baarn!$C$4:$C$38,0)),0))</f>
        <v>0</v>
      </c>
      <c r="H200" s="24" t="str">
        <f>IF($A200="","",IFERROR(INDEX(Scherpenzeel!$A$4:$A$103,MATCH($A200,Scherpenzeel!$C$4:$C$103,0)),""))</f>
        <v/>
      </c>
      <c r="I200" s="15">
        <f>IF($A200="",0,IFERROR(INDEX(Scherpenzeel!$I$4:$I$103,MATCH($A200,Scherpenzeel!$C$4:$C$103,0)),0))</f>
        <v>0</v>
      </c>
      <c r="J200" s="24" t="str">
        <f>IF($A200="","",IFERROR(INDEX('4'!$A$4:$A$103,MATCH($A200,'4'!$C$4:$C$103,0)),""))</f>
        <v/>
      </c>
      <c r="K200" s="15">
        <f>IF($A200="",0,IFERROR(INDEX('4'!$I$4:$I$103,MATCH($A200,'4'!$C$4:$C$103,0)),0))</f>
        <v>0</v>
      </c>
      <c r="L200" s="24" t="str">
        <f>IF($A200="","",IFERROR(INDEX('5'!$A$4:$A$103,MATCH($A200,'5'!$C$4:$C$103,0)),""))</f>
        <v/>
      </c>
      <c r="M200" s="15">
        <f>IF($A200="",0,IFERROR(INDEX('5'!$I$4:$I$103,MATCH($A200,'5'!$C$4:$C$103,0)),0))</f>
        <v>0</v>
      </c>
      <c r="N200" s="25" t="str">
        <f>IF($A200="","",E200+G200+I200+K200+M200)</f>
        <v/>
      </c>
      <c r="O200" s="26" t="str">
        <f>IF(OR($A200="",N200="",N200=0),"",RANK(N200,$N$4:$N$203,0))</f>
        <v/>
      </c>
      <c r="AA200">
        <f>'4'!C35</f>
        <v>0</v>
      </c>
      <c r="AB200">
        <f>IF(AA200="",0,IF(COUNTIF($AA$1:AA200,AA200)=1,1,0))</f>
        <v>0</v>
      </c>
      <c r="AC200" t="str">
        <f>IF(AB200=1,COUNTIF($AB$1:AB200,1),"")</f>
        <v/>
      </c>
    </row>
    <row r="201" spans="1:29" x14ac:dyDescent="0.25">
      <c r="A201" s="13" t="str">
        <f>IFERROR(INDEX($AA$1:$AA$368,MATCH(198,$AC$1:$AC$368,0)),"")</f>
        <v/>
      </c>
      <c r="B201" s="13" t="str">
        <f>IF($A201="","",IF(IFERROR(INDEX(Barneveld!$E$4:$E$36,MATCH($A201,Barneveld!$C$4:$C$36,0)),"")&lt;&gt;"",IFERROR(INDEX(Barneveld!$E$4:$E$36,MATCH($A201,Barneveld!$C$4:$C$36,0)),""),IF(IFERROR(INDEX(Baarn!$F$4:$F$38,MATCH($A201,Baarn!$C$4:$C$38,0)),"")&lt;&gt;"",IFERROR(INDEX(Baarn!$F$4:$F$38,MATCH($A201,Baarn!$C$4:$C$38,0)),""),IF(IFERROR(INDEX(Scherpenzeel!$F$4:$F$103,MATCH($A201,Scherpenzeel!$C$4:$C$103,0)),"")&lt;&gt;"",IFERROR(INDEX(Scherpenzeel!$F$4:$F$103,MATCH($A201,Scherpenzeel!$C$4:$C$103,0)),""),IF(IFERROR(INDEX('4'!$F$4:$F$103,MATCH($A201,'4'!$C$4:$C$103,0)),"")&lt;&gt;"",IFERROR(INDEX('4'!$F$4:$F$103,MATCH($A201,'4'!$C$4:$C$103,0)),""),IFERROR(INDEX('5'!$F$4:$F$103,MATCH($A201,'5'!$C$4:$C$103,0)),""))))))</f>
        <v/>
      </c>
      <c r="C201" s="13" t="str">
        <f>IF($A201="","",IF(IFERROR(INDEX(Barneveld!$D$4:$D$36,MATCH($A201,Barneveld!$C$4:$C$36,0)),"")&lt;&gt;"",IFERROR(INDEX(Barneveld!$D$4:$D$36,MATCH($A201,Barneveld!$C$4:$C$36,0)),""),IF(IFERROR(INDEX(Baarn!$E$4:$E$38,MATCH($A201,Baarn!$C$4:$C$38,0)),"")&lt;&gt;"",IFERROR(INDEX(Baarn!$E$4:$E$38,MATCH($A201,Baarn!$C$4:$C$38,0)),""),IF(IFERROR(INDEX(Scherpenzeel!$E$4:$E$103,MATCH($A201,Scherpenzeel!$C$4:$C$103,0)),"")&lt;&gt;"",IFERROR(INDEX(Scherpenzeel!$E$4:$E$103,MATCH($A201,Scherpenzeel!$C$4:$C$103,0)),""),IF(IFERROR(INDEX('4'!$E$4:$E$103,MATCH($A201,'4'!$C$4:$C$103,0)),"")&lt;&gt;"",IFERROR(INDEX('4'!$E$4:$E$103,MATCH($A201,'4'!$C$4:$C$103,0)),""),IFERROR(INDEX('5'!$E$4:$E$103,MATCH($A201,'5'!$C$4:$C$103,0)),""))))))</f>
        <v/>
      </c>
      <c r="D201" s="24" t="str">
        <f>IF($A201="","",IFERROR(INDEX(Barneveld!$A$4:$A$36,MATCH($A201,Barneveld!$C$4:$C$36,0)),""))</f>
        <v/>
      </c>
      <c r="E201" s="15">
        <f>IF($A201="",0,IFERROR(INDEX(Barneveld!$H$4:$H$36,MATCH($A201,Barneveld!$C$4:$C$36,0)),0))</f>
        <v>0</v>
      </c>
      <c r="F201" s="24" t="str">
        <f>IF($A201="","",IFERROR(INDEX(Baarn!$A$4:$A$38,MATCH($A201,Baarn!$C$4:$C$38,0)),""))</f>
        <v/>
      </c>
      <c r="G201" s="15">
        <f>IF($A201="",0,IFERROR(INDEX(Baarn!$I$4:$I$38,MATCH($A201,Baarn!$C$4:$C$38,0)),0))</f>
        <v>0</v>
      </c>
      <c r="H201" s="24" t="str">
        <f>IF($A201="","",IFERROR(INDEX(Scherpenzeel!$A$4:$A$103,MATCH($A201,Scherpenzeel!$C$4:$C$103,0)),""))</f>
        <v/>
      </c>
      <c r="I201" s="15">
        <f>IF($A201="",0,IFERROR(INDEX(Scherpenzeel!$I$4:$I$103,MATCH($A201,Scherpenzeel!$C$4:$C$103,0)),0))</f>
        <v>0</v>
      </c>
      <c r="J201" s="24" t="str">
        <f>IF($A201="","",IFERROR(INDEX('4'!$A$4:$A$103,MATCH($A201,'4'!$C$4:$C$103,0)),""))</f>
        <v/>
      </c>
      <c r="K201" s="15">
        <f>IF($A201="",0,IFERROR(INDEX('4'!$I$4:$I$103,MATCH($A201,'4'!$C$4:$C$103,0)),0))</f>
        <v>0</v>
      </c>
      <c r="L201" s="24" t="str">
        <f>IF($A201="","",IFERROR(INDEX('5'!$A$4:$A$103,MATCH($A201,'5'!$C$4:$C$103,0)),""))</f>
        <v/>
      </c>
      <c r="M201" s="15">
        <f>IF($A201="",0,IFERROR(INDEX('5'!$I$4:$I$103,MATCH($A201,'5'!$C$4:$C$103,0)),0))</f>
        <v>0</v>
      </c>
      <c r="N201" s="25" t="str">
        <f>IF($A201="","",E201+G201+I201+K201+M201)</f>
        <v/>
      </c>
      <c r="O201" s="26" t="str">
        <f>IF(OR($A201="",N201="",N201=0),"",RANK(N201,$N$4:$N$203,0))</f>
        <v/>
      </c>
      <c r="AA201">
        <f>'4'!C36</f>
        <v>0</v>
      </c>
      <c r="AB201">
        <f>IF(AA201="",0,IF(COUNTIF($AA$1:AA201,AA201)=1,1,0))</f>
        <v>0</v>
      </c>
      <c r="AC201" t="str">
        <f>IF(AB201=1,COUNTIF($AB$1:AB201,1),"")</f>
        <v/>
      </c>
    </row>
    <row r="202" spans="1:29" x14ac:dyDescent="0.25">
      <c r="A202" s="13" t="str">
        <f>IFERROR(INDEX($AA$1:$AA$368,MATCH(199,$AC$1:$AC$368,0)),"")</f>
        <v/>
      </c>
      <c r="B202" s="13" t="str">
        <f>IF($A202="","",IF(IFERROR(INDEX(Barneveld!$E$4:$E$36,MATCH($A202,Barneveld!$C$4:$C$36,0)),"")&lt;&gt;"",IFERROR(INDEX(Barneveld!$E$4:$E$36,MATCH($A202,Barneveld!$C$4:$C$36,0)),""),IF(IFERROR(INDEX(Baarn!$F$4:$F$38,MATCH($A202,Baarn!$C$4:$C$38,0)),"")&lt;&gt;"",IFERROR(INDEX(Baarn!$F$4:$F$38,MATCH($A202,Baarn!$C$4:$C$38,0)),""),IF(IFERROR(INDEX(Scherpenzeel!$F$4:$F$103,MATCH($A202,Scherpenzeel!$C$4:$C$103,0)),"")&lt;&gt;"",IFERROR(INDEX(Scherpenzeel!$F$4:$F$103,MATCH($A202,Scherpenzeel!$C$4:$C$103,0)),""),IF(IFERROR(INDEX('4'!$F$4:$F$103,MATCH($A202,'4'!$C$4:$C$103,0)),"")&lt;&gt;"",IFERROR(INDEX('4'!$F$4:$F$103,MATCH($A202,'4'!$C$4:$C$103,0)),""),IFERROR(INDEX('5'!$F$4:$F$103,MATCH($A202,'5'!$C$4:$C$103,0)),""))))))</f>
        <v/>
      </c>
      <c r="C202" s="13" t="str">
        <f>IF($A202="","",IF(IFERROR(INDEX(Barneveld!$D$4:$D$36,MATCH($A202,Barneveld!$C$4:$C$36,0)),"")&lt;&gt;"",IFERROR(INDEX(Barneveld!$D$4:$D$36,MATCH($A202,Barneveld!$C$4:$C$36,0)),""),IF(IFERROR(INDEX(Baarn!$E$4:$E$38,MATCH($A202,Baarn!$C$4:$C$38,0)),"")&lt;&gt;"",IFERROR(INDEX(Baarn!$E$4:$E$38,MATCH($A202,Baarn!$C$4:$C$38,0)),""),IF(IFERROR(INDEX(Scherpenzeel!$E$4:$E$103,MATCH($A202,Scherpenzeel!$C$4:$C$103,0)),"")&lt;&gt;"",IFERROR(INDEX(Scherpenzeel!$E$4:$E$103,MATCH($A202,Scherpenzeel!$C$4:$C$103,0)),""),IF(IFERROR(INDEX('4'!$E$4:$E$103,MATCH($A202,'4'!$C$4:$C$103,0)),"")&lt;&gt;"",IFERROR(INDEX('4'!$E$4:$E$103,MATCH($A202,'4'!$C$4:$C$103,0)),""),IFERROR(INDEX('5'!$E$4:$E$103,MATCH($A202,'5'!$C$4:$C$103,0)),""))))))</f>
        <v/>
      </c>
      <c r="D202" s="24" t="str">
        <f>IF($A202="","",IFERROR(INDEX(Barneveld!$A$4:$A$36,MATCH($A202,Barneveld!$C$4:$C$36,0)),""))</f>
        <v/>
      </c>
      <c r="E202" s="15">
        <f>IF($A202="",0,IFERROR(INDEX(Barneveld!$H$4:$H$36,MATCH($A202,Barneveld!$C$4:$C$36,0)),0))</f>
        <v>0</v>
      </c>
      <c r="F202" s="24" t="str">
        <f>IF($A202="","",IFERROR(INDEX(Baarn!$A$4:$A$38,MATCH($A202,Baarn!$C$4:$C$38,0)),""))</f>
        <v/>
      </c>
      <c r="G202" s="15">
        <f>IF($A202="",0,IFERROR(INDEX(Baarn!$I$4:$I$38,MATCH($A202,Baarn!$C$4:$C$38,0)),0))</f>
        <v>0</v>
      </c>
      <c r="H202" s="24" t="str">
        <f>IF($A202="","",IFERROR(INDEX(Scherpenzeel!$A$4:$A$103,MATCH($A202,Scherpenzeel!$C$4:$C$103,0)),""))</f>
        <v/>
      </c>
      <c r="I202" s="15">
        <f>IF($A202="",0,IFERROR(INDEX(Scherpenzeel!$I$4:$I$103,MATCH($A202,Scherpenzeel!$C$4:$C$103,0)),0))</f>
        <v>0</v>
      </c>
      <c r="J202" s="24" t="str">
        <f>IF($A202="","",IFERROR(INDEX('4'!$A$4:$A$103,MATCH($A202,'4'!$C$4:$C$103,0)),""))</f>
        <v/>
      </c>
      <c r="K202" s="15">
        <f>IF($A202="",0,IFERROR(INDEX('4'!$I$4:$I$103,MATCH($A202,'4'!$C$4:$C$103,0)),0))</f>
        <v>0</v>
      </c>
      <c r="L202" s="24" t="str">
        <f>IF($A202="","",IFERROR(INDEX('5'!$A$4:$A$103,MATCH($A202,'5'!$C$4:$C$103,0)),""))</f>
        <v/>
      </c>
      <c r="M202" s="15">
        <f>IF($A202="",0,IFERROR(INDEX('5'!$I$4:$I$103,MATCH($A202,'5'!$C$4:$C$103,0)),0))</f>
        <v>0</v>
      </c>
      <c r="N202" s="25" t="str">
        <f>IF($A202="","",E202+G202+I202+K202+M202)</f>
        <v/>
      </c>
      <c r="O202" s="26" t="str">
        <f>IF(OR($A202="",N202="",N202=0),"",RANK(N202,$N$4:$N$203,0))</f>
        <v/>
      </c>
      <c r="AA202">
        <f>'4'!C37</f>
        <v>0</v>
      </c>
      <c r="AB202">
        <f>IF(AA202="",0,IF(COUNTIF($AA$1:AA202,AA202)=1,1,0))</f>
        <v>0</v>
      </c>
      <c r="AC202" t="str">
        <f>IF(AB202=1,COUNTIF($AB$1:AB202,1),"")</f>
        <v/>
      </c>
    </row>
    <row r="203" spans="1:29" x14ac:dyDescent="0.25">
      <c r="A203" s="13" t="str">
        <f>IFERROR(INDEX($AA$1:$AA$368,MATCH(200,$AC$1:$AC$368,0)),"")</f>
        <v/>
      </c>
      <c r="B203" s="13" t="str">
        <f>IF($A203="","",IF(IFERROR(INDEX(Barneveld!$E$4:$E$36,MATCH($A203,Barneveld!$C$4:$C$36,0)),"")&lt;&gt;"",IFERROR(INDEX(Barneveld!$E$4:$E$36,MATCH($A203,Barneveld!$C$4:$C$36,0)),""),IF(IFERROR(INDEX(Baarn!$F$4:$F$38,MATCH($A203,Baarn!$C$4:$C$38,0)),"")&lt;&gt;"",IFERROR(INDEX(Baarn!$F$4:$F$38,MATCH($A203,Baarn!$C$4:$C$38,0)),""),IF(IFERROR(INDEX(Scherpenzeel!$F$4:$F$103,MATCH($A203,Scherpenzeel!$C$4:$C$103,0)),"")&lt;&gt;"",IFERROR(INDEX(Scherpenzeel!$F$4:$F$103,MATCH($A203,Scherpenzeel!$C$4:$C$103,0)),""),IF(IFERROR(INDEX('4'!$F$4:$F$103,MATCH($A203,'4'!$C$4:$C$103,0)),"")&lt;&gt;"",IFERROR(INDEX('4'!$F$4:$F$103,MATCH($A203,'4'!$C$4:$C$103,0)),""),IFERROR(INDEX('5'!$F$4:$F$103,MATCH($A203,'5'!$C$4:$C$103,0)),""))))))</f>
        <v/>
      </c>
      <c r="C203" s="13" t="str">
        <f>IF($A203="","",IF(IFERROR(INDEX(Barneveld!$D$4:$D$36,MATCH($A203,Barneveld!$C$4:$C$36,0)),"")&lt;&gt;"",IFERROR(INDEX(Barneveld!$D$4:$D$36,MATCH($A203,Barneveld!$C$4:$C$36,0)),""),IF(IFERROR(INDEX(Baarn!$E$4:$E$38,MATCH($A203,Baarn!$C$4:$C$38,0)),"")&lt;&gt;"",IFERROR(INDEX(Baarn!$E$4:$E$38,MATCH($A203,Baarn!$C$4:$C$38,0)),""),IF(IFERROR(INDEX(Scherpenzeel!$E$4:$E$103,MATCH($A203,Scherpenzeel!$C$4:$C$103,0)),"")&lt;&gt;"",IFERROR(INDEX(Scherpenzeel!$E$4:$E$103,MATCH($A203,Scherpenzeel!$C$4:$C$103,0)),""),IF(IFERROR(INDEX('4'!$E$4:$E$103,MATCH($A203,'4'!$C$4:$C$103,0)),"")&lt;&gt;"",IFERROR(INDEX('4'!$E$4:$E$103,MATCH($A203,'4'!$C$4:$C$103,0)),""),IFERROR(INDEX('5'!$E$4:$E$103,MATCH($A203,'5'!$C$4:$C$103,0)),""))))))</f>
        <v/>
      </c>
      <c r="D203" s="24" t="str">
        <f>IF($A203="","",IFERROR(INDEX(Barneveld!$A$4:$A$36,MATCH($A203,Barneveld!$C$4:$C$36,0)),""))</f>
        <v/>
      </c>
      <c r="E203" s="15">
        <f>IF($A203="",0,IFERROR(INDEX(Barneveld!$H$4:$H$36,MATCH($A203,Barneveld!$C$4:$C$36,0)),0))</f>
        <v>0</v>
      </c>
      <c r="F203" s="24" t="str">
        <f>IF($A203="","",IFERROR(INDEX(Baarn!$A$4:$A$38,MATCH($A203,Baarn!$C$4:$C$38,0)),""))</f>
        <v/>
      </c>
      <c r="G203" s="15">
        <f>IF($A203="",0,IFERROR(INDEX(Baarn!$I$4:$I$38,MATCH($A203,Baarn!$C$4:$C$38,0)),0))</f>
        <v>0</v>
      </c>
      <c r="H203" s="24" t="str">
        <f>IF($A203="","",IFERROR(INDEX(Scherpenzeel!$A$4:$A$103,MATCH($A203,Scherpenzeel!$C$4:$C$103,0)),""))</f>
        <v/>
      </c>
      <c r="I203" s="15">
        <f>IF($A203="",0,IFERROR(INDEX(Scherpenzeel!$I$4:$I$103,MATCH($A203,Scherpenzeel!$C$4:$C$103,0)),0))</f>
        <v>0</v>
      </c>
      <c r="J203" s="24" t="str">
        <f>IF($A203="","",IFERROR(INDEX('4'!$A$4:$A$103,MATCH($A203,'4'!$C$4:$C$103,0)),""))</f>
        <v/>
      </c>
      <c r="K203" s="15">
        <f>IF($A203="",0,IFERROR(INDEX('4'!$I$4:$I$103,MATCH($A203,'4'!$C$4:$C$103,0)),0))</f>
        <v>0</v>
      </c>
      <c r="L203" s="24" t="str">
        <f>IF($A203="","",IFERROR(INDEX('5'!$A$4:$A$103,MATCH($A203,'5'!$C$4:$C$103,0)),""))</f>
        <v/>
      </c>
      <c r="M203" s="15">
        <f>IF($A203="",0,IFERROR(INDEX('5'!$I$4:$I$103,MATCH($A203,'5'!$C$4:$C$103,0)),0))</f>
        <v>0</v>
      </c>
      <c r="N203" s="25" t="str">
        <f>IF($A203="","",E203+G203+I203+K203+M203)</f>
        <v/>
      </c>
      <c r="O203" s="26" t="str">
        <f>IF(OR($A203="",N203="",N203=0),"",RANK(N203,$N$4:$N$203,0))</f>
        <v/>
      </c>
      <c r="AA203">
        <f>'4'!C38</f>
        <v>0</v>
      </c>
      <c r="AB203">
        <f>IF(AA203="",0,IF(COUNTIF($AA$1:AA203,AA203)=1,1,0))</f>
        <v>0</v>
      </c>
      <c r="AC203" t="str">
        <f>IF(AB203=1,COUNTIF($AB$1:AB203,1),"")</f>
        <v/>
      </c>
    </row>
    <row r="204" spans="1:29" x14ac:dyDescent="0.25">
      <c r="AA204">
        <f>'4'!C39</f>
        <v>0</v>
      </c>
      <c r="AB204">
        <f>IF(AA204="",0,IF(COUNTIF($AA$1:AA204,AA204)=1,1,0))</f>
        <v>0</v>
      </c>
      <c r="AC204" t="str">
        <f>IF(AB204=1,COUNTIF($AB$1:AB204,1),"")</f>
        <v/>
      </c>
    </row>
    <row r="205" spans="1:29" x14ac:dyDescent="0.25">
      <c r="AA205">
        <f>'4'!C40</f>
        <v>0</v>
      </c>
      <c r="AB205">
        <f>IF(AA205="",0,IF(COUNTIF($AA$1:AA205,AA205)=1,1,0))</f>
        <v>0</v>
      </c>
      <c r="AC205" t="str">
        <f>IF(AB205=1,COUNTIF($AB$1:AB205,1),"")</f>
        <v/>
      </c>
    </row>
    <row r="206" spans="1:29" x14ac:dyDescent="0.25">
      <c r="AA206">
        <f>'4'!C41</f>
        <v>0</v>
      </c>
      <c r="AB206">
        <f>IF(AA206="",0,IF(COUNTIF($AA$1:AA206,AA206)=1,1,0))</f>
        <v>0</v>
      </c>
      <c r="AC206" t="str">
        <f>IF(AB206=1,COUNTIF($AB$1:AB206,1),"")</f>
        <v/>
      </c>
    </row>
    <row r="207" spans="1:29" x14ac:dyDescent="0.25">
      <c r="AA207">
        <f>'4'!C42</f>
        <v>0</v>
      </c>
      <c r="AB207">
        <f>IF(AA207="",0,IF(COUNTIF($AA$1:AA207,AA207)=1,1,0))</f>
        <v>0</v>
      </c>
      <c r="AC207" t="str">
        <f>IF(AB207=1,COUNTIF($AB$1:AB207,1),"")</f>
        <v/>
      </c>
    </row>
    <row r="208" spans="1:29" x14ac:dyDescent="0.25">
      <c r="AA208">
        <f>'4'!C43</f>
        <v>0</v>
      </c>
      <c r="AB208">
        <f>IF(AA208="",0,IF(COUNTIF($AA$1:AA208,AA208)=1,1,0))</f>
        <v>0</v>
      </c>
      <c r="AC208" t="str">
        <f>IF(AB208=1,COUNTIF($AB$1:AB208,1),"")</f>
        <v/>
      </c>
    </row>
    <row r="209" spans="27:29" x14ac:dyDescent="0.25">
      <c r="AA209">
        <f>'4'!C44</f>
        <v>0</v>
      </c>
      <c r="AB209">
        <f>IF(AA209="",0,IF(COUNTIF($AA$1:AA209,AA209)=1,1,0))</f>
        <v>0</v>
      </c>
      <c r="AC209" t="str">
        <f>IF(AB209=1,COUNTIF($AB$1:AB209,1),"")</f>
        <v/>
      </c>
    </row>
    <row r="210" spans="27:29" x14ac:dyDescent="0.25">
      <c r="AA210">
        <f>'4'!C45</f>
        <v>0</v>
      </c>
      <c r="AB210">
        <f>IF(AA210="",0,IF(COUNTIF($AA$1:AA210,AA210)=1,1,0))</f>
        <v>0</v>
      </c>
      <c r="AC210" t="str">
        <f>IF(AB210=1,COUNTIF($AB$1:AB210,1),"")</f>
        <v/>
      </c>
    </row>
    <row r="211" spans="27:29" x14ac:dyDescent="0.25">
      <c r="AA211">
        <f>'4'!C46</f>
        <v>0</v>
      </c>
      <c r="AB211">
        <f>IF(AA211="",0,IF(COUNTIF($AA$1:AA211,AA211)=1,1,0))</f>
        <v>0</v>
      </c>
      <c r="AC211" t="str">
        <f>IF(AB211=1,COUNTIF($AB$1:AB211,1),"")</f>
        <v/>
      </c>
    </row>
    <row r="212" spans="27:29" x14ac:dyDescent="0.25">
      <c r="AA212">
        <f>'4'!C47</f>
        <v>0</v>
      </c>
      <c r="AB212">
        <f>IF(AA212="",0,IF(COUNTIF($AA$1:AA212,AA212)=1,1,0))</f>
        <v>0</v>
      </c>
      <c r="AC212" t="str">
        <f>IF(AB212=1,COUNTIF($AB$1:AB212,1),"")</f>
        <v/>
      </c>
    </row>
    <row r="213" spans="27:29" x14ac:dyDescent="0.25">
      <c r="AA213">
        <f>'4'!C48</f>
        <v>0</v>
      </c>
      <c r="AB213">
        <f>IF(AA213="",0,IF(COUNTIF($AA$1:AA213,AA213)=1,1,0))</f>
        <v>0</v>
      </c>
      <c r="AC213" t="str">
        <f>IF(AB213=1,COUNTIF($AB$1:AB213,1),"")</f>
        <v/>
      </c>
    </row>
    <row r="214" spans="27:29" x14ac:dyDescent="0.25">
      <c r="AA214">
        <f>'4'!C49</f>
        <v>0</v>
      </c>
      <c r="AB214">
        <f>IF(AA214="",0,IF(COUNTIF($AA$1:AA214,AA214)=1,1,0))</f>
        <v>0</v>
      </c>
      <c r="AC214" t="str">
        <f>IF(AB214=1,COUNTIF($AB$1:AB214,1),"")</f>
        <v/>
      </c>
    </row>
    <row r="215" spans="27:29" x14ac:dyDescent="0.25">
      <c r="AA215">
        <f>'4'!C50</f>
        <v>0</v>
      </c>
      <c r="AB215">
        <f>IF(AA215="",0,IF(COUNTIF($AA$1:AA215,AA215)=1,1,0))</f>
        <v>0</v>
      </c>
      <c r="AC215" t="str">
        <f>IF(AB215=1,COUNTIF($AB$1:AB215,1),"")</f>
        <v/>
      </c>
    </row>
    <row r="216" spans="27:29" x14ac:dyDescent="0.25">
      <c r="AA216">
        <f>'4'!C51</f>
        <v>0</v>
      </c>
      <c r="AB216">
        <f>IF(AA216="",0,IF(COUNTIF($AA$1:AA216,AA216)=1,1,0))</f>
        <v>0</v>
      </c>
      <c r="AC216" t="str">
        <f>IF(AB216=1,COUNTIF($AB$1:AB216,1),"")</f>
        <v/>
      </c>
    </row>
    <row r="217" spans="27:29" x14ac:dyDescent="0.25">
      <c r="AA217">
        <f>'4'!C52</f>
        <v>0</v>
      </c>
      <c r="AB217">
        <f>IF(AA217="",0,IF(COUNTIF($AA$1:AA217,AA217)=1,1,0))</f>
        <v>0</v>
      </c>
      <c r="AC217" t="str">
        <f>IF(AB217=1,COUNTIF($AB$1:AB217,1),"")</f>
        <v/>
      </c>
    </row>
    <row r="218" spans="27:29" x14ac:dyDescent="0.25">
      <c r="AA218">
        <f>'4'!C53</f>
        <v>0</v>
      </c>
      <c r="AB218">
        <f>IF(AA218="",0,IF(COUNTIF($AA$1:AA218,AA218)=1,1,0))</f>
        <v>0</v>
      </c>
      <c r="AC218" t="str">
        <f>IF(AB218=1,COUNTIF($AB$1:AB218,1),"")</f>
        <v/>
      </c>
    </row>
    <row r="219" spans="27:29" x14ac:dyDescent="0.25">
      <c r="AA219">
        <f>'4'!C54</f>
        <v>0</v>
      </c>
      <c r="AB219">
        <f>IF(AA219="",0,IF(COUNTIF($AA$1:AA219,AA219)=1,1,0))</f>
        <v>0</v>
      </c>
      <c r="AC219" t="str">
        <f>IF(AB219=1,COUNTIF($AB$1:AB219,1),"")</f>
        <v/>
      </c>
    </row>
    <row r="220" spans="27:29" x14ac:dyDescent="0.25">
      <c r="AA220">
        <f>'4'!C55</f>
        <v>0</v>
      </c>
      <c r="AB220">
        <f>IF(AA220="",0,IF(COUNTIF($AA$1:AA220,AA220)=1,1,0))</f>
        <v>0</v>
      </c>
      <c r="AC220" t="str">
        <f>IF(AB220=1,COUNTIF($AB$1:AB220,1),"")</f>
        <v/>
      </c>
    </row>
    <row r="221" spans="27:29" x14ac:dyDescent="0.25">
      <c r="AA221">
        <f>'4'!C56</f>
        <v>0</v>
      </c>
      <c r="AB221">
        <f>IF(AA221="",0,IF(COUNTIF($AA$1:AA221,AA221)=1,1,0))</f>
        <v>0</v>
      </c>
      <c r="AC221" t="str">
        <f>IF(AB221=1,COUNTIF($AB$1:AB221,1),"")</f>
        <v/>
      </c>
    </row>
    <row r="222" spans="27:29" x14ac:dyDescent="0.25">
      <c r="AA222">
        <f>'4'!C57</f>
        <v>0</v>
      </c>
      <c r="AB222">
        <f>IF(AA222="",0,IF(COUNTIF($AA$1:AA222,AA222)=1,1,0))</f>
        <v>0</v>
      </c>
      <c r="AC222" t="str">
        <f>IF(AB222=1,COUNTIF($AB$1:AB222,1),"")</f>
        <v/>
      </c>
    </row>
    <row r="223" spans="27:29" x14ac:dyDescent="0.25">
      <c r="AA223">
        <f>'4'!C58</f>
        <v>0</v>
      </c>
      <c r="AB223">
        <f>IF(AA223="",0,IF(COUNTIF($AA$1:AA223,AA223)=1,1,0))</f>
        <v>0</v>
      </c>
      <c r="AC223" t="str">
        <f>IF(AB223=1,COUNTIF($AB$1:AB223,1),"")</f>
        <v/>
      </c>
    </row>
    <row r="224" spans="27:29" x14ac:dyDescent="0.25">
      <c r="AA224">
        <f>'4'!C59</f>
        <v>0</v>
      </c>
      <c r="AB224">
        <f>IF(AA224="",0,IF(COUNTIF($AA$1:AA224,AA224)=1,1,0))</f>
        <v>0</v>
      </c>
      <c r="AC224" t="str">
        <f>IF(AB224=1,COUNTIF($AB$1:AB224,1),"")</f>
        <v/>
      </c>
    </row>
    <row r="225" spans="27:29" x14ac:dyDescent="0.25">
      <c r="AA225">
        <f>'4'!C60</f>
        <v>0</v>
      </c>
      <c r="AB225">
        <f>IF(AA225="",0,IF(COUNTIF($AA$1:AA225,AA225)=1,1,0))</f>
        <v>0</v>
      </c>
      <c r="AC225" t="str">
        <f>IF(AB225=1,COUNTIF($AB$1:AB225,1),"")</f>
        <v/>
      </c>
    </row>
    <row r="226" spans="27:29" x14ac:dyDescent="0.25">
      <c r="AA226">
        <f>'4'!C61</f>
        <v>0</v>
      </c>
      <c r="AB226">
        <f>IF(AA226="",0,IF(COUNTIF($AA$1:AA226,AA226)=1,1,0))</f>
        <v>0</v>
      </c>
      <c r="AC226" t="str">
        <f>IF(AB226=1,COUNTIF($AB$1:AB226,1),"")</f>
        <v/>
      </c>
    </row>
    <row r="227" spans="27:29" x14ac:dyDescent="0.25">
      <c r="AA227">
        <f>'4'!C62</f>
        <v>0</v>
      </c>
      <c r="AB227">
        <f>IF(AA227="",0,IF(COUNTIF($AA$1:AA227,AA227)=1,1,0))</f>
        <v>0</v>
      </c>
      <c r="AC227" t="str">
        <f>IF(AB227=1,COUNTIF($AB$1:AB227,1),"")</f>
        <v/>
      </c>
    </row>
    <row r="228" spans="27:29" x14ac:dyDescent="0.25">
      <c r="AA228">
        <f>'4'!C63</f>
        <v>0</v>
      </c>
      <c r="AB228">
        <f>IF(AA228="",0,IF(COUNTIF($AA$1:AA228,AA228)=1,1,0))</f>
        <v>0</v>
      </c>
      <c r="AC228" t="str">
        <f>IF(AB228=1,COUNTIF($AB$1:AB228,1),"")</f>
        <v/>
      </c>
    </row>
    <row r="229" spans="27:29" x14ac:dyDescent="0.25">
      <c r="AA229">
        <f>'4'!C64</f>
        <v>0</v>
      </c>
      <c r="AB229">
        <f>IF(AA229="",0,IF(COUNTIF($AA$1:AA229,AA229)=1,1,0))</f>
        <v>0</v>
      </c>
      <c r="AC229" t="str">
        <f>IF(AB229=1,COUNTIF($AB$1:AB229,1),"")</f>
        <v/>
      </c>
    </row>
    <row r="230" spans="27:29" x14ac:dyDescent="0.25">
      <c r="AA230">
        <f>'4'!C65</f>
        <v>0</v>
      </c>
      <c r="AB230">
        <f>IF(AA230="",0,IF(COUNTIF($AA$1:AA230,AA230)=1,1,0))</f>
        <v>0</v>
      </c>
      <c r="AC230" t="str">
        <f>IF(AB230=1,COUNTIF($AB$1:AB230,1),"")</f>
        <v/>
      </c>
    </row>
    <row r="231" spans="27:29" x14ac:dyDescent="0.25">
      <c r="AA231">
        <f>'4'!C66</f>
        <v>0</v>
      </c>
      <c r="AB231">
        <f>IF(AA231="",0,IF(COUNTIF($AA$1:AA231,AA231)=1,1,0))</f>
        <v>0</v>
      </c>
      <c r="AC231" t="str">
        <f>IF(AB231=1,COUNTIF($AB$1:AB231,1),"")</f>
        <v/>
      </c>
    </row>
    <row r="232" spans="27:29" x14ac:dyDescent="0.25">
      <c r="AA232">
        <f>'4'!C67</f>
        <v>0</v>
      </c>
      <c r="AB232">
        <f>IF(AA232="",0,IF(COUNTIF($AA$1:AA232,AA232)=1,1,0))</f>
        <v>0</v>
      </c>
      <c r="AC232" t="str">
        <f>IF(AB232=1,COUNTIF($AB$1:AB232,1),"")</f>
        <v/>
      </c>
    </row>
    <row r="233" spans="27:29" x14ac:dyDescent="0.25">
      <c r="AA233">
        <f>'4'!C68</f>
        <v>0</v>
      </c>
      <c r="AB233">
        <f>IF(AA233="",0,IF(COUNTIF($AA$1:AA233,AA233)=1,1,0))</f>
        <v>0</v>
      </c>
      <c r="AC233" t="str">
        <f>IF(AB233=1,COUNTIF($AB$1:AB233,1),"")</f>
        <v/>
      </c>
    </row>
    <row r="234" spans="27:29" x14ac:dyDescent="0.25">
      <c r="AA234">
        <f>'4'!C69</f>
        <v>0</v>
      </c>
      <c r="AB234">
        <f>IF(AA234="",0,IF(COUNTIF($AA$1:AA234,AA234)=1,1,0))</f>
        <v>0</v>
      </c>
      <c r="AC234" t="str">
        <f>IF(AB234=1,COUNTIF($AB$1:AB234,1),"")</f>
        <v/>
      </c>
    </row>
    <row r="235" spans="27:29" x14ac:dyDescent="0.25">
      <c r="AA235">
        <f>'4'!C70</f>
        <v>0</v>
      </c>
      <c r="AB235">
        <f>IF(AA235="",0,IF(COUNTIF($AA$1:AA235,AA235)=1,1,0))</f>
        <v>0</v>
      </c>
      <c r="AC235" t="str">
        <f>IF(AB235=1,COUNTIF($AB$1:AB235,1),"")</f>
        <v/>
      </c>
    </row>
    <row r="236" spans="27:29" x14ac:dyDescent="0.25">
      <c r="AA236">
        <f>'4'!C71</f>
        <v>0</v>
      </c>
      <c r="AB236">
        <f>IF(AA236="",0,IF(COUNTIF($AA$1:AA236,AA236)=1,1,0))</f>
        <v>0</v>
      </c>
      <c r="AC236" t="str">
        <f>IF(AB236=1,COUNTIF($AB$1:AB236,1),"")</f>
        <v/>
      </c>
    </row>
    <row r="237" spans="27:29" x14ac:dyDescent="0.25">
      <c r="AA237">
        <f>'4'!C72</f>
        <v>0</v>
      </c>
      <c r="AB237">
        <f>IF(AA237="",0,IF(COUNTIF($AA$1:AA237,AA237)=1,1,0))</f>
        <v>0</v>
      </c>
      <c r="AC237" t="str">
        <f>IF(AB237=1,COUNTIF($AB$1:AB237,1),"")</f>
        <v/>
      </c>
    </row>
    <row r="238" spans="27:29" x14ac:dyDescent="0.25">
      <c r="AA238">
        <f>'4'!C73</f>
        <v>0</v>
      </c>
      <c r="AB238">
        <f>IF(AA238="",0,IF(COUNTIF($AA$1:AA238,AA238)=1,1,0))</f>
        <v>0</v>
      </c>
      <c r="AC238" t="str">
        <f>IF(AB238=1,COUNTIF($AB$1:AB238,1),"")</f>
        <v/>
      </c>
    </row>
    <row r="239" spans="27:29" x14ac:dyDescent="0.25">
      <c r="AA239">
        <f>'4'!C74</f>
        <v>0</v>
      </c>
      <c r="AB239">
        <f>IF(AA239="",0,IF(COUNTIF($AA$1:AA239,AA239)=1,1,0))</f>
        <v>0</v>
      </c>
      <c r="AC239" t="str">
        <f>IF(AB239=1,COUNTIF($AB$1:AB239,1),"")</f>
        <v/>
      </c>
    </row>
    <row r="240" spans="27:29" x14ac:dyDescent="0.25">
      <c r="AA240">
        <f>'4'!C75</f>
        <v>0</v>
      </c>
      <c r="AB240">
        <f>IF(AA240="",0,IF(COUNTIF($AA$1:AA240,AA240)=1,1,0))</f>
        <v>0</v>
      </c>
      <c r="AC240" t="str">
        <f>IF(AB240=1,COUNTIF($AB$1:AB240,1),"")</f>
        <v/>
      </c>
    </row>
    <row r="241" spans="27:29" x14ac:dyDescent="0.25">
      <c r="AA241">
        <f>'4'!C76</f>
        <v>0</v>
      </c>
      <c r="AB241">
        <f>IF(AA241="",0,IF(COUNTIF($AA$1:AA241,AA241)=1,1,0))</f>
        <v>0</v>
      </c>
      <c r="AC241" t="str">
        <f>IF(AB241=1,COUNTIF($AB$1:AB241,1),"")</f>
        <v/>
      </c>
    </row>
    <row r="242" spans="27:29" x14ac:dyDescent="0.25">
      <c r="AA242">
        <f>'4'!C77</f>
        <v>0</v>
      </c>
      <c r="AB242">
        <f>IF(AA242="",0,IF(COUNTIF($AA$1:AA242,AA242)=1,1,0))</f>
        <v>0</v>
      </c>
      <c r="AC242" t="str">
        <f>IF(AB242=1,COUNTIF($AB$1:AB242,1),"")</f>
        <v/>
      </c>
    </row>
    <row r="243" spans="27:29" x14ac:dyDescent="0.25">
      <c r="AA243">
        <f>'4'!C78</f>
        <v>0</v>
      </c>
      <c r="AB243">
        <f>IF(AA243="",0,IF(COUNTIF($AA$1:AA243,AA243)=1,1,0))</f>
        <v>0</v>
      </c>
      <c r="AC243" t="str">
        <f>IF(AB243=1,COUNTIF($AB$1:AB243,1),"")</f>
        <v/>
      </c>
    </row>
    <row r="244" spans="27:29" x14ac:dyDescent="0.25">
      <c r="AA244">
        <f>'4'!C79</f>
        <v>0</v>
      </c>
      <c r="AB244">
        <f>IF(AA244="",0,IF(COUNTIF($AA$1:AA244,AA244)=1,1,0))</f>
        <v>0</v>
      </c>
      <c r="AC244" t="str">
        <f>IF(AB244=1,COUNTIF($AB$1:AB244,1),"")</f>
        <v/>
      </c>
    </row>
    <row r="245" spans="27:29" x14ac:dyDescent="0.25">
      <c r="AA245">
        <f>'4'!C80</f>
        <v>0</v>
      </c>
      <c r="AB245">
        <f>IF(AA245="",0,IF(COUNTIF($AA$1:AA245,AA245)=1,1,0))</f>
        <v>0</v>
      </c>
      <c r="AC245" t="str">
        <f>IF(AB245=1,COUNTIF($AB$1:AB245,1),"")</f>
        <v/>
      </c>
    </row>
    <row r="246" spans="27:29" x14ac:dyDescent="0.25">
      <c r="AA246">
        <f>'4'!C81</f>
        <v>0</v>
      </c>
      <c r="AB246">
        <f>IF(AA246="",0,IF(COUNTIF($AA$1:AA246,AA246)=1,1,0))</f>
        <v>0</v>
      </c>
      <c r="AC246" t="str">
        <f>IF(AB246=1,COUNTIF($AB$1:AB246,1),"")</f>
        <v/>
      </c>
    </row>
    <row r="247" spans="27:29" x14ac:dyDescent="0.25">
      <c r="AA247">
        <f>'4'!C82</f>
        <v>0</v>
      </c>
      <c r="AB247">
        <f>IF(AA247="",0,IF(COUNTIF($AA$1:AA247,AA247)=1,1,0))</f>
        <v>0</v>
      </c>
      <c r="AC247" t="str">
        <f>IF(AB247=1,COUNTIF($AB$1:AB247,1),"")</f>
        <v/>
      </c>
    </row>
    <row r="248" spans="27:29" x14ac:dyDescent="0.25">
      <c r="AA248">
        <f>'4'!C83</f>
        <v>0</v>
      </c>
      <c r="AB248">
        <f>IF(AA248="",0,IF(COUNTIF($AA$1:AA248,AA248)=1,1,0))</f>
        <v>0</v>
      </c>
      <c r="AC248" t="str">
        <f>IF(AB248=1,COUNTIF($AB$1:AB248,1),"")</f>
        <v/>
      </c>
    </row>
    <row r="249" spans="27:29" x14ac:dyDescent="0.25">
      <c r="AA249">
        <f>'4'!C84</f>
        <v>0</v>
      </c>
      <c r="AB249">
        <f>IF(AA249="",0,IF(COUNTIF($AA$1:AA249,AA249)=1,1,0))</f>
        <v>0</v>
      </c>
      <c r="AC249" t="str">
        <f>IF(AB249=1,COUNTIF($AB$1:AB249,1),"")</f>
        <v/>
      </c>
    </row>
    <row r="250" spans="27:29" x14ac:dyDescent="0.25">
      <c r="AA250">
        <f>'4'!C85</f>
        <v>0</v>
      </c>
      <c r="AB250">
        <f>IF(AA250="",0,IF(COUNTIF($AA$1:AA250,AA250)=1,1,0))</f>
        <v>0</v>
      </c>
      <c r="AC250" t="str">
        <f>IF(AB250=1,COUNTIF($AB$1:AB250,1),"")</f>
        <v/>
      </c>
    </row>
    <row r="251" spans="27:29" x14ac:dyDescent="0.25">
      <c r="AA251">
        <f>'4'!C86</f>
        <v>0</v>
      </c>
      <c r="AB251">
        <f>IF(AA251="",0,IF(COUNTIF($AA$1:AA251,AA251)=1,1,0))</f>
        <v>0</v>
      </c>
      <c r="AC251" t="str">
        <f>IF(AB251=1,COUNTIF($AB$1:AB251,1),"")</f>
        <v/>
      </c>
    </row>
    <row r="252" spans="27:29" x14ac:dyDescent="0.25">
      <c r="AA252">
        <f>'4'!C87</f>
        <v>0</v>
      </c>
      <c r="AB252">
        <f>IF(AA252="",0,IF(COUNTIF($AA$1:AA252,AA252)=1,1,0))</f>
        <v>0</v>
      </c>
      <c r="AC252" t="str">
        <f>IF(AB252=1,COUNTIF($AB$1:AB252,1),"")</f>
        <v/>
      </c>
    </row>
    <row r="253" spans="27:29" x14ac:dyDescent="0.25">
      <c r="AA253">
        <f>'4'!C88</f>
        <v>0</v>
      </c>
      <c r="AB253">
        <f>IF(AA253="",0,IF(COUNTIF($AA$1:AA253,AA253)=1,1,0))</f>
        <v>0</v>
      </c>
      <c r="AC253" t="str">
        <f>IF(AB253=1,COUNTIF($AB$1:AB253,1),"")</f>
        <v/>
      </c>
    </row>
    <row r="254" spans="27:29" x14ac:dyDescent="0.25">
      <c r="AA254">
        <f>'4'!C89</f>
        <v>0</v>
      </c>
      <c r="AB254">
        <f>IF(AA254="",0,IF(COUNTIF($AA$1:AA254,AA254)=1,1,0))</f>
        <v>0</v>
      </c>
      <c r="AC254" t="str">
        <f>IF(AB254=1,COUNTIF($AB$1:AB254,1),"")</f>
        <v/>
      </c>
    </row>
    <row r="255" spans="27:29" x14ac:dyDescent="0.25">
      <c r="AA255">
        <f>'4'!C90</f>
        <v>0</v>
      </c>
      <c r="AB255">
        <f>IF(AA255="",0,IF(COUNTIF($AA$1:AA255,AA255)=1,1,0))</f>
        <v>0</v>
      </c>
      <c r="AC255" t="str">
        <f>IF(AB255=1,COUNTIF($AB$1:AB255,1),"")</f>
        <v/>
      </c>
    </row>
    <row r="256" spans="27:29" x14ac:dyDescent="0.25">
      <c r="AA256">
        <f>'4'!C91</f>
        <v>0</v>
      </c>
      <c r="AB256">
        <f>IF(AA256="",0,IF(COUNTIF($AA$1:AA256,AA256)=1,1,0))</f>
        <v>0</v>
      </c>
      <c r="AC256" t="str">
        <f>IF(AB256=1,COUNTIF($AB$1:AB256,1),"")</f>
        <v/>
      </c>
    </row>
    <row r="257" spans="27:29" x14ac:dyDescent="0.25">
      <c r="AA257">
        <f>'4'!C92</f>
        <v>0</v>
      </c>
      <c r="AB257">
        <f>IF(AA257="",0,IF(COUNTIF($AA$1:AA257,AA257)=1,1,0))</f>
        <v>0</v>
      </c>
      <c r="AC257" t="str">
        <f>IF(AB257=1,COUNTIF($AB$1:AB257,1),"")</f>
        <v/>
      </c>
    </row>
    <row r="258" spans="27:29" x14ac:dyDescent="0.25">
      <c r="AA258">
        <f>'4'!C93</f>
        <v>0</v>
      </c>
      <c r="AB258">
        <f>IF(AA258="",0,IF(COUNTIF($AA$1:AA258,AA258)=1,1,0))</f>
        <v>0</v>
      </c>
      <c r="AC258" t="str">
        <f>IF(AB258=1,COUNTIF($AB$1:AB258,1),"")</f>
        <v/>
      </c>
    </row>
    <row r="259" spans="27:29" x14ac:dyDescent="0.25">
      <c r="AA259">
        <f>'4'!C94</f>
        <v>0</v>
      </c>
      <c r="AB259">
        <f>IF(AA259="",0,IF(COUNTIF($AA$1:AA259,AA259)=1,1,0))</f>
        <v>0</v>
      </c>
      <c r="AC259" t="str">
        <f>IF(AB259=1,COUNTIF($AB$1:AB259,1),"")</f>
        <v/>
      </c>
    </row>
    <row r="260" spans="27:29" x14ac:dyDescent="0.25">
      <c r="AA260">
        <f>'4'!C95</f>
        <v>0</v>
      </c>
      <c r="AB260">
        <f>IF(AA260="",0,IF(COUNTIF($AA$1:AA260,AA260)=1,1,0))</f>
        <v>0</v>
      </c>
      <c r="AC260" t="str">
        <f>IF(AB260=1,COUNTIF($AB$1:AB260,1),"")</f>
        <v/>
      </c>
    </row>
    <row r="261" spans="27:29" x14ac:dyDescent="0.25">
      <c r="AA261">
        <f>'4'!C96</f>
        <v>0</v>
      </c>
      <c r="AB261">
        <f>IF(AA261="",0,IF(COUNTIF($AA$1:AA261,AA261)=1,1,0))</f>
        <v>0</v>
      </c>
      <c r="AC261" t="str">
        <f>IF(AB261=1,COUNTIF($AB$1:AB261,1),"")</f>
        <v/>
      </c>
    </row>
    <row r="262" spans="27:29" x14ac:dyDescent="0.25">
      <c r="AA262">
        <f>'4'!C97</f>
        <v>0</v>
      </c>
      <c r="AB262">
        <f>IF(AA262="",0,IF(COUNTIF($AA$1:AA262,AA262)=1,1,0))</f>
        <v>0</v>
      </c>
      <c r="AC262" t="str">
        <f>IF(AB262=1,COUNTIF($AB$1:AB262,1),"")</f>
        <v/>
      </c>
    </row>
    <row r="263" spans="27:29" x14ac:dyDescent="0.25">
      <c r="AA263">
        <f>'4'!C98</f>
        <v>0</v>
      </c>
      <c r="AB263">
        <f>IF(AA263="",0,IF(COUNTIF($AA$1:AA263,AA263)=1,1,0))</f>
        <v>0</v>
      </c>
      <c r="AC263" t="str">
        <f>IF(AB263=1,COUNTIF($AB$1:AB263,1),"")</f>
        <v/>
      </c>
    </row>
    <row r="264" spans="27:29" x14ac:dyDescent="0.25">
      <c r="AA264">
        <f>'4'!C99</f>
        <v>0</v>
      </c>
      <c r="AB264">
        <f>IF(AA264="",0,IF(COUNTIF($AA$1:AA264,AA264)=1,1,0))</f>
        <v>0</v>
      </c>
      <c r="AC264" t="str">
        <f>IF(AB264=1,COUNTIF($AB$1:AB264,1),"")</f>
        <v/>
      </c>
    </row>
    <row r="265" spans="27:29" x14ac:dyDescent="0.25">
      <c r="AA265">
        <f>'4'!C100</f>
        <v>0</v>
      </c>
      <c r="AB265">
        <f>IF(AA265="",0,IF(COUNTIF($AA$1:AA265,AA265)=1,1,0))</f>
        <v>0</v>
      </c>
      <c r="AC265" t="str">
        <f>IF(AB265=1,COUNTIF($AB$1:AB265,1),"")</f>
        <v/>
      </c>
    </row>
    <row r="266" spans="27:29" x14ac:dyDescent="0.25">
      <c r="AA266">
        <f>'4'!C101</f>
        <v>0</v>
      </c>
      <c r="AB266">
        <f>IF(AA266="",0,IF(COUNTIF($AA$1:AA266,AA266)=1,1,0))</f>
        <v>0</v>
      </c>
      <c r="AC266" t="str">
        <f>IF(AB266=1,COUNTIF($AB$1:AB266,1),"")</f>
        <v/>
      </c>
    </row>
    <row r="267" spans="27:29" x14ac:dyDescent="0.25">
      <c r="AA267">
        <f>'4'!C102</f>
        <v>0</v>
      </c>
      <c r="AB267">
        <f>IF(AA267="",0,IF(COUNTIF($AA$1:AA267,AA267)=1,1,0))</f>
        <v>0</v>
      </c>
      <c r="AC267" t="str">
        <f>IF(AB267=1,COUNTIF($AB$1:AB267,1),"")</f>
        <v/>
      </c>
    </row>
    <row r="268" spans="27:29" x14ac:dyDescent="0.25">
      <c r="AA268">
        <f>'4'!C103</f>
        <v>0</v>
      </c>
      <c r="AB268">
        <f>IF(AA268="",0,IF(COUNTIF($AA$1:AA268,AA268)=1,1,0))</f>
        <v>0</v>
      </c>
      <c r="AC268" t="str">
        <f>IF(AB268=1,COUNTIF($AB$1:AB268,1),"")</f>
        <v/>
      </c>
    </row>
    <row r="269" spans="27:29" x14ac:dyDescent="0.25">
      <c r="AA269">
        <f>'5'!C4</f>
        <v>0</v>
      </c>
      <c r="AB269">
        <f>IF(AA269="",0,IF(COUNTIF($AA$1:AA269,AA269)=1,1,0))</f>
        <v>0</v>
      </c>
      <c r="AC269" t="str">
        <f>IF(AB269=1,COUNTIF($AB$1:AB269,1),"")</f>
        <v/>
      </c>
    </row>
    <row r="270" spans="27:29" x14ac:dyDescent="0.25">
      <c r="AA270">
        <f>'5'!C5</f>
        <v>0</v>
      </c>
      <c r="AB270">
        <f>IF(AA270="",0,IF(COUNTIF($AA$1:AA270,AA270)=1,1,0))</f>
        <v>0</v>
      </c>
      <c r="AC270" t="str">
        <f>IF(AB270=1,COUNTIF($AB$1:AB270,1),"")</f>
        <v/>
      </c>
    </row>
    <row r="271" spans="27:29" x14ac:dyDescent="0.25">
      <c r="AA271">
        <f>'5'!C6</f>
        <v>0</v>
      </c>
      <c r="AB271">
        <f>IF(AA271="",0,IF(COUNTIF($AA$1:AA271,AA271)=1,1,0))</f>
        <v>0</v>
      </c>
      <c r="AC271" t="str">
        <f>IF(AB271=1,COUNTIF($AB$1:AB271,1),"")</f>
        <v/>
      </c>
    </row>
    <row r="272" spans="27:29" x14ac:dyDescent="0.25">
      <c r="AA272">
        <f>'5'!C7</f>
        <v>0</v>
      </c>
      <c r="AB272">
        <f>IF(AA272="",0,IF(COUNTIF($AA$1:AA272,AA272)=1,1,0))</f>
        <v>0</v>
      </c>
      <c r="AC272" t="str">
        <f>IF(AB272=1,COUNTIF($AB$1:AB272,1),"")</f>
        <v/>
      </c>
    </row>
    <row r="273" spans="27:29" x14ac:dyDescent="0.25">
      <c r="AA273">
        <f>'5'!C8</f>
        <v>0</v>
      </c>
      <c r="AB273">
        <f>IF(AA273="",0,IF(COUNTIF($AA$1:AA273,AA273)=1,1,0))</f>
        <v>0</v>
      </c>
      <c r="AC273" t="str">
        <f>IF(AB273=1,COUNTIF($AB$1:AB273,1),"")</f>
        <v/>
      </c>
    </row>
    <row r="274" spans="27:29" x14ac:dyDescent="0.25">
      <c r="AA274">
        <f>'5'!C9</f>
        <v>0</v>
      </c>
      <c r="AB274">
        <f>IF(AA274="",0,IF(COUNTIF($AA$1:AA274,AA274)=1,1,0))</f>
        <v>0</v>
      </c>
      <c r="AC274" t="str">
        <f>IF(AB274=1,COUNTIF($AB$1:AB274,1),"")</f>
        <v/>
      </c>
    </row>
    <row r="275" spans="27:29" x14ac:dyDescent="0.25">
      <c r="AA275">
        <f>'5'!C10</f>
        <v>0</v>
      </c>
      <c r="AB275">
        <f>IF(AA275="",0,IF(COUNTIF($AA$1:AA275,AA275)=1,1,0))</f>
        <v>0</v>
      </c>
      <c r="AC275" t="str">
        <f>IF(AB275=1,COUNTIF($AB$1:AB275,1),"")</f>
        <v/>
      </c>
    </row>
    <row r="276" spans="27:29" x14ac:dyDescent="0.25">
      <c r="AA276">
        <f>'5'!C11</f>
        <v>0</v>
      </c>
      <c r="AB276">
        <f>IF(AA276="",0,IF(COUNTIF($AA$1:AA276,AA276)=1,1,0))</f>
        <v>0</v>
      </c>
      <c r="AC276" t="str">
        <f>IF(AB276=1,COUNTIF($AB$1:AB276,1),"")</f>
        <v/>
      </c>
    </row>
    <row r="277" spans="27:29" x14ac:dyDescent="0.25">
      <c r="AA277">
        <f>'5'!C12</f>
        <v>0</v>
      </c>
      <c r="AB277">
        <f>IF(AA277="",0,IF(COUNTIF($AA$1:AA277,AA277)=1,1,0))</f>
        <v>0</v>
      </c>
      <c r="AC277" t="str">
        <f>IF(AB277=1,COUNTIF($AB$1:AB277,1),"")</f>
        <v/>
      </c>
    </row>
    <row r="278" spans="27:29" x14ac:dyDescent="0.25">
      <c r="AA278">
        <f>'5'!C13</f>
        <v>0</v>
      </c>
      <c r="AB278">
        <f>IF(AA278="",0,IF(COUNTIF($AA$1:AA278,AA278)=1,1,0))</f>
        <v>0</v>
      </c>
      <c r="AC278" t="str">
        <f>IF(AB278=1,COUNTIF($AB$1:AB278,1),"")</f>
        <v/>
      </c>
    </row>
    <row r="279" spans="27:29" x14ac:dyDescent="0.25">
      <c r="AA279">
        <f>'5'!C14</f>
        <v>0</v>
      </c>
      <c r="AB279">
        <f>IF(AA279="",0,IF(COUNTIF($AA$1:AA279,AA279)=1,1,0))</f>
        <v>0</v>
      </c>
      <c r="AC279" t="str">
        <f>IF(AB279=1,COUNTIF($AB$1:AB279,1),"")</f>
        <v/>
      </c>
    </row>
    <row r="280" spans="27:29" x14ac:dyDescent="0.25">
      <c r="AA280">
        <f>'5'!C15</f>
        <v>0</v>
      </c>
      <c r="AB280">
        <f>IF(AA280="",0,IF(COUNTIF($AA$1:AA280,AA280)=1,1,0))</f>
        <v>0</v>
      </c>
      <c r="AC280" t="str">
        <f>IF(AB280=1,COUNTIF($AB$1:AB280,1),"")</f>
        <v/>
      </c>
    </row>
    <row r="281" spans="27:29" x14ac:dyDescent="0.25">
      <c r="AA281">
        <f>'5'!C16</f>
        <v>0</v>
      </c>
      <c r="AB281">
        <f>IF(AA281="",0,IF(COUNTIF($AA$1:AA281,AA281)=1,1,0))</f>
        <v>0</v>
      </c>
      <c r="AC281" t="str">
        <f>IF(AB281=1,COUNTIF($AB$1:AB281,1),"")</f>
        <v/>
      </c>
    </row>
    <row r="282" spans="27:29" x14ac:dyDescent="0.25">
      <c r="AA282">
        <f>'5'!C17</f>
        <v>0</v>
      </c>
      <c r="AB282">
        <f>IF(AA282="",0,IF(COUNTIF($AA$1:AA282,AA282)=1,1,0))</f>
        <v>0</v>
      </c>
      <c r="AC282" t="str">
        <f>IF(AB282=1,COUNTIF($AB$1:AB282,1),"")</f>
        <v/>
      </c>
    </row>
    <row r="283" spans="27:29" x14ac:dyDescent="0.25">
      <c r="AA283">
        <f>'5'!C18</f>
        <v>0</v>
      </c>
      <c r="AB283">
        <f>IF(AA283="",0,IF(COUNTIF($AA$1:AA283,AA283)=1,1,0))</f>
        <v>0</v>
      </c>
      <c r="AC283" t="str">
        <f>IF(AB283=1,COUNTIF($AB$1:AB283,1),"")</f>
        <v/>
      </c>
    </row>
    <row r="284" spans="27:29" x14ac:dyDescent="0.25">
      <c r="AA284">
        <f>'5'!C19</f>
        <v>0</v>
      </c>
      <c r="AB284">
        <f>IF(AA284="",0,IF(COUNTIF($AA$1:AA284,AA284)=1,1,0))</f>
        <v>0</v>
      </c>
      <c r="AC284" t="str">
        <f>IF(AB284=1,COUNTIF($AB$1:AB284,1),"")</f>
        <v/>
      </c>
    </row>
    <row r="285" spans="27:29" x14ac:dyDescent="0.25">
      <c r="AA285">
        <f>'5'!C20</f>
        <v>0</v>
      </c>
      <c r="AB285">
        <f>IF(AA285="",0,IF(COUNTIF($AA$1:AA285,AA285)=1,1,0))</f>
        <v>0</v>
      </c>
      <c r="AC285" t="str">
        <f>IF(AB285=1,COUNTIF($AB$1:AB285,1),"")</f>
        <v/>
      </c>
    </row>
    <row r="286" spans="27:29" x14ac:dyDescent="0.25">
      <c r="AA286">
        <f>'5'!C21</f>
        <v>0</v>
      </c>
      <c r="AB286">
        <f>IF(AA286="",0,IF(COUNTIF($AA$1:AA286,AA286)=1,1,0))</f>
        <v>0</v>
      </c>
      <c r="AC286" t="str">
        <f>IF(AB286=1,COUNTIF($AB$1:AB286,1),"")</f>
        <v/>
      </c>
    </row>
    <row r="287" spans="27:29" x14ac:dyDescent="0.25">
      <c r="AA287">
        <f>'5'!C22</f>
        <v>0</v>
      </c>
      <c r="AB287">
        <f>IF(AA287="",0,IF(COUNTIF($AA$1:AA287,AA287)=1,1,0))</f>
        <v>0</v>
      </c>
      <c r="AC287" t="str">
        <f>IF(AB287=1,COUNTIF($AB$1:AB287,1),"")</f>
        <v/>
      </c>
    </row>
    <row r="288" spans="27:29" x14ac:dyDescent="0.25">
      <c r="AA288">
        <f>'5'!C23</f>
        <v>0</v>
      </c>
      <c r="AB288">
        <f>IF(AA288="",0,IF(COUNTIF($AA$1:AA288,AA288)=1,1,0))</f>
        <v>0</v>
      </c>
      <c r="AC288" t="str">
        <f>IF(AB288=1,COUNTIF($AB$1:AB288,1),"")</f>
        <v/>
      </c>
    </row>
    <row r="289" spans="27:29" x14ac:dyDescent="0.25">
      <c r="AA289">
        <f>'5'!C24</f>
        <v>0</v>
      </c>
      <c r="AB289">
        <f>IF(AA289="",0,IF(COUNTIF($AA$1:AA289,AA289)=1,1,0))</f>
        <v>0</v>
      </c>
      <c r="AC289" t="str">
        <f>IF(AB289=1,COUNTIF($AB$1:AB289,1),"")</f>
        <v/>
      </c>
    </row>
    <row r="290" spans="27:29" x14ac:dyDescent="0.25">
      <c r="AA290">
        <f>'5'!C25</f>
        <v>0</v>
      </c>
      <c r="AB290">
        <f>IF(AA290="",0,IF(COUNTIF($AA$1:AA290,AA290)=1,1,0))</f>
        <v>0</v>
      </c>
      <c r="AC290" t="str">
        <f>IF(AB290=1,COUNTIF($AB$1:AB290,1),"")</f>
        <v/>
      </c>
    </row>
    <row r="291" spans="27:29" x14ac:dyDescent="0.25">
      <c r="AA291">
        <f>'5'!C26</f>
        <v>0</v>
      </c>
      <c r="AB291">
        <f>IF(AA291="",0,IF(COUNTIF($AA$1:AA291,AA291)=1,1,0))</f>
        <v>0</v>
      </c>
      <c r="AC291" t="str">
        <f>IF(AB291=1,COUNTIF($AB$1:AB291,1),"")</f>
        <v/>
      </c>
    </row>
    <row r="292" spans="27:29" x14ac:dyDescent="0.25">
      <c r="AA292">
        <f>'5'!C27</f>
        <v>0</v>
      </c>
      <c r="AB292">
        <f>IF(AA292="",0,IF(COUNTIF($AA$1:AA292,AA292)=1,1,0))</f>
        <v>0</v>
      </c>
      <c r="AC292" t="str">
        <f>IF(AB292=1,COUNTIF($AB$1:AB292,1),"")</f>
        <v/>
      </c>
    </row>
    <row r="293" spans="27:29" x14ac:dyDescent="0.25">
      <c r="AA293">
        <f>'5'!C28</f>
        <v>0</v>
      </c>
      <c r="AB293">
        <f>IF(AA293="",0,IF(COUNTIF($AA$1:AA293,AA293)=1,1,0))</f>
        <v>0</v>
      </c>
      <c r="AC293" t="str">
        <f>IF(AB293=1,COUNTIF($AB$1:AB293,1),"")</f>
        <v/>
      </c>
    </row>
    <row r="294" spans="27:29" x14ac:dyDescent="0.25">
      <c r="AA294">
        <f>'5'!C29</f>
        <v>0</v>
      </c>
      <c r="AB294">
        <f>IF(AA294="",0,IF(COUNTIF($AA$1:AA294,AA294)=1,1,0))</f>
        <v>0</v>
      </c>
      <c r="AC294" t="str">
        <f>IF(AB294=1,COUNTIF($AB$1:AB294,1),"")</f>
        <v/>
      </c>
    </row>
    <row r="295" spans="27:29" x14ac:dyDescent="0.25">
      <c r="AA295">
        <f>'5'!C30</f>
        <v>0</v>
      </c>
      <c r="AB295">
        <f>IF(AA295="",0,IF(COUNTIF($AA$1:AA295,AA295)=1,1,0))</f>
        <v>0</v>
      </c>
      <c r="AC295" t="str">
        <f>IF(AB295=1,COUNTIF($AB$1:AB295,1),"")</f>
        <v/>
      </c>
    </row>
    <row r="296" spans="27:29" x14ac:dyDescent="0.25">
      <c r="AA296">
        <f>'5'!C31</f>
        <v>0</v>
      </c>
      <c r="AB296">
        <f>IF(AA296="",0,IF(COUNTIF($AA$1:AA296,AA296)=1,1,0))</f>
        <v>0</v>
      </c>
      <c r="AC296" t="str">
        <f>IF(AB296=1,COUNTIF($AB$1:AB296,1),"")</f>
        <v/>
      </c>
    </row>
    <row r="297" spans="27:29" x14ac:dyDescent="0.25">
      <c r="AA297">
        <f>'5'!C32</f>
        <v>0</v>
      </c>
      <c r="AB297">
        <f>IF(AA297="",0,IF(COUNTIF($AA$1:AA297,AA297)=1,1,0))</f>
        <v>0</v>
      </c>
      <c r="AC297" t="str">
        <f>IF(AB297=1,COUNTIF($AB$1:AB297,1),"")</f>
        <v/>
      </c>
    </row>
    <row r="298" spans="27:29" x14ac:dyDescent="0.25">
      <c r="AA298">
        <f>'5'!C33</f>
        <v>0</v>
      </c>
      <c r="AB298">
        <f>IF(AA298="",0,IF(COUNTIF($AA$1:AA298,AA298)=1,1,0))</f>
        <v>0</v>
      </c>
      <c r="AC298" t="str">
        <f>IF(AB298=1,COUNTIF($AB$1:AB298,1),"")</f>
        <v/>
      </c>
    </row>
    <row r="299" spans="27:29" x14ac:dyDescent="0.25">
      <c r="AA299">
        <f>'5'!C34</f>
        <v>0</v>
      </c>
      <c r="AB299">
        <f>IF(AA299="",0,IF(COUNTIF($AA$1:AA299,AA299)=1,1,0))</f>
        <v>0</v>
      </c>
      <c r="AC299" t="str">
        <f>IF(AB299=1,COUNTIF($AB$1:AB299,1),"")</f>
        <v/>
      </c>
    </row>
    <row r="300" spans="27:29" x14ac:dyDescent="0.25">
      <c r="AA300">
        <f>'5'!C35</f>
        <v>0</v>
      </c>
      <c r="AB300">
        <f>IF(AA300="",0,IF(COUNTIF($AA$1:AA300,AA300)=1,1,0))</f>
        <v>0</v>
      </c>
      <c r="AC300" t="str">
        <f>IF(AB300=1,COUNTIF($AB$1:AB300,1),"")</f>
        <v/>
      </c>
    </row>
    <row r="301" spans="27:29" x14ac:dyDescent="0.25">
      <c r="AA301">
        <f>'5'!C36</f>
        <v>0</v>
      </c>
      <c r="AB301">
        <f>IF(AA301="",0,IF(COUNTIF($AA$1:AA301,AA301)=1,1,0))</f>
        <v>0</v>
      </c>
      <c r="AC301" t="str">
        <f>IF(AB301=1,COUNTIF($AB$1:AB301,1),"")</f>
        <v/>
      </c>
    </row>
    <row r="302" spans="27:29" x14ac:dyDescent="0.25">
      <c r="AA302">
        <f>'5'!C37</f>
        <v>0</v>
      </c>
      <c r="AB302">
        <f>IF(AA302="",0,IF(COUNTIF($AA$1:AA302,AA302)=1,1,0))</f>
        <v>0</v>
      </c>
      <c r="AC302" t="str">
        <f>IF(AB302=1,COUNTIF($AB$1:AB302,1),"")</f>
        <v/>
      </c>
    </row>
    <row r="303" spans="27:29" x14ac:dyDescent="0.25">
      <c r="AA303">
        <f>'5'!C38</f>
        <v>0</v>
      </c>
      <c r="AB303">
        <f>IF(AA303="",0,IF(COUNTIF($AA$1:AA303,AA303)=1,1,0))</f>
        <v>0</v>
      </c>
      <c r="AC303" t="str">
        <f>IF(AB303=1,COUNTIF($AB$1:AB303,1),"")</f>
        <v/>
      </c>
    </row>
    <row r="304" spans="27:29" x14ac:dyDescent="0.25">
      <c r="AA304">
        <f>'5'!C39</f>
        <v>0</v>
      </c>
      <c r="AB304">
        <f>IF(AA304="",0,IF(COUNTIF($AA$1:AA304,AA304)=1,1,0))</f>
        <v>0</v>
      </c>
      <c r="AC304" t="str">
        <f>IF(AB304=1,COUNTIF($AB$1:AB304,1),"")</f>
        <v/>
      </c>
    </row>
    <row r="305" spans="27:29" x14ac:dyDescent="0.25">
      <c r="AA305">
        <f>'5'!C40</f>
        <v>0</v>
      </c>
      <c r="AB305">
        <f>IF(AA305="",0,IF(COUNTIF($AA$1:AA305,AA305)=1,1,0))</f>
        <v>0</v>
      </c>
      <c r="AC305" t="str">
        <f>IF(AB305=1,COUNTIF($AB$1:AB305,1),"")</f>
        <v/>
      </c>
    </row>
    <row r="306" spans="27:29" x14ac:dyDescent="0.25">
      <c r="AA306">
        <f>'5'!C41</f>
        <v>0</v>
      </c>
      <c r="AB306">
        <f>IF(AA306="",0,IF(COUNTIF($AA$1:AA306,AA306)=1,1,0))</f>
        <v>0</v>
      </c>
      <c r="AC306" t="str">
        <f>IF(AB306=1,COUNTIF($AB$1:AB306,1),"")</f>
        <v/>
      </c>
    </row>
    <row r="307" spans="27:29" x14ac:dyDescent="0.25">
      <c r="AA307">
        <f>'5'!C42</f>
        <v>0</v>
      </c>
      <c r="AB307">
        <f>IF(AA307="",0,IF(COUNTIF($AA$1:AA307,AA307)=1,1,0))</f>
        <v>0</v>
      </c>
      <c r="AC307" t="str">
        <f>IF(AB307=1,COUNTIF($AB$1:AB307,1),"")</f>
        <v/>
      </c>
    </row>
    <row r="308" spans="27:29" x14ac:dyDescent="0.25">
      <c r="AA308">
        <f>'5'!C43</f>
        <v>0</v>
      </c>
      <c r="AB308">
        <f>IF(AA308="",0,IF(COUNTIF($AA$1:AA308,AA308)=1,1,0))</f>
        <v>0</v>
      </c>
      <c r="AC308" t="str">
        <f>IF(AB308=1,COUNTIF($AB$1:AB308,1),"")</f>
        <v/>
      </c>
    </row>
    <row r="309" spans="27:29" x14ac:dyDescent="0.25">
      <c r="AA309">
        <f>'5'!C44</f>
        <v>0</v>
      </c>
      <c r="AB309">
        <f>IF(AA309="",0,IF(COUNTIF($AA$1:AA309,AA309)=1,1,0))</f>
        <v>0</v>
      </c>
      <c r="AC309" t="str">
        <f>IF(AB309=1,COUNTIF($AB$1:AB309,1),"")</f>
        <v/>
      </c>
    </row>
    <row r="310" spans="27:29" x14ac:dyDescent="0.25">
      <c r="AA310">
        <f>'5'!C45</f>
        <v>0</v>
      </c>
      <c r="AB310">
        <f>IF(AA310="",0,IF(COUNTIF($AA$1:AA310,AA310)=1,1,0))</f>
        <v>0</v>
      </c>
      <c r="AC310" t="str">
        <f>IF(AB310=1,COUNTIF($AB$1:AB310,1),"")</f>
        <v/>
      </c>
    </row>
    <row r="311" spans="27:29" x14ac:dyDescent="0.25">
      <c r="AA311">
        <f>'5'!C46</f>
        <v>0</v>
      </c>
      <c r="AB311">
        <f>IF(AA311="",0,IF(COUNTIF($AA$1:AA311,AA311)=1,1,0))</f>
        <v>0</v>
      </c>
      <c r="AC311" t="str">
        <f>IF(AB311=1,COUNTIF($AB$1:AB311,1),"")</f>
        <v/>
      </c>
    </row>
    <row r="312" spans="27:29" x14ac:dyDescent="0.25">
      <c r="AA312">
        <f>'5'!C47</f>
        <v>0</v>
      </c>
      <c r="AB312">
        <f>IF(AA312="",0,IF(COUNTIF($AA$1:AA312,AA312)=1,1,0))</f>
        <v>0</v>
      </c>
      <c r="AC312" t="str">
        <f>IF(AB312=1,COUNTIF($AB$1:AB312,1),"")</f>
        <v/>
      </c>
    </row>
    <row r="313" spans="27:29" x14ac:dyDescent="0.25">
      <c r="AA313">
        <f>'5'!C48</f>
        <v>0</v>
      </c>
      <c r="AB313">
        <f>IF(AA313="",0,IF(COUNTIF($AA$1:AA313,AA313)=1,1,0))</f>
        <v>0</v>
      </c>
      <c r="AC313" t="str">
        <f>IF(AB313=1,COUNTIF($AB$1:AB313,1),"")</f>
        <v/>
      </c>
    </row>
    <row r="314" spans="27:29" x14ac:dyDescent="0.25">
      <c r="AA314">
        <f>'5'!C49</f>
        <v>0</v>
      </c>
      <c r="AB314">
        <f>IF(AA314="",0,IF(COUNTIF($AA$1:AA314,AA314)=1,1,0))</f>
        <v>0</v>
      </c>
      <c r="AC314" t="str">
        <f>IF(AB314=1,COUNTIF($AB$1:AB314,1),"")</f>
        <v/>
      </c>
    </row>
    <row r="315" spans="27:29" x14ac:dyDescent="0.25">
      <c r="AA315">
        <f>'5'!C50</f>
        <v>0</v>
      </c>
      <c r="AB315">
        <f>IF(AA315="",0,IF(COUNTIF($AA$1:AA315,AA315)=1,1,0))</f>
        <v>0</v>
      </c>
      <c r="AC315" t="str">
        <f>IF(AB315=1,COUNTIF($AB$1:AB315,1),"")</f>
        <v/>
      </c>
    </row>
    <row r="316" spans="27:29" x14ac:dyDescent="0.25">
      <c r="AA316">
        <f>'5'!C51</f>
        <v>0</v>
      </c>
      <c r="AB316">
        <f>IF(AA316="",0,IF(COUNTIF($AA$1:AA316,AA316)=1,1,0))</f>
        <v>0</v>
      </c>
      <c r="AC316" t="str">
        <f>IF(AB316=1,COUNTIF($AB$1:AB316,1),"")</f>
        <v/>
      </c>
    </row>
    <row r="317" spans="27:29" x14ac:dyDescent="0.25">
      <c r="AA317">
        <f>'5'!C52</f>
        <v>0</v>
      </c>
      <c r="AB317">
        <f>IF(AA317="",0,IF(COUNTIF($AA$1:AA317,AA317)=1,1,0))</f>
        <v>0</v>
      </c>
      <c r="AC317" t="str">
        <f>IF(AB317=1,COUNTIF($AB$1:AB317,1),"")</f>
        <v/>
      </c>
    </row>
    <row r="318" spans="27:29" x14ac:dyDescent="0.25">
      <c r="AA318">
        <f>'5'!C53</f>
        <v>0</v>
      </c>
      <c r="AB318">
        <f>IF(AA318="",0,IF(COUNTIF($AA$1:AA318,AA318)=1,1,0))</f>
        <v>0</v>
      </c>
      <c r="AC318" t="str">
        <f>IF(AB318=1,COUNTIF($AB$1:AB318,1),"")</f>
        <v/>
      </c>
    </row>
    <row r="319" spans="27:29" x14ac:dyDescent="0.25">
      <c r="AA319">
        <f>'5'!C54</f>
        <v>0</v>
      </c>
      <c r="AB319">
        <f>IF(AA319="",0,IF(COUNTIF($AA$1:AA319,AA319)=1,1,0))</f>
        <v>0</v>
      </c>
      <c r="AC319" t="str">
        <f>IF(AB319=1,COUNTIF($AB$1:AB319,1),"")</f>
        <v/>
      </c>
    </row>
    <row r="320" spans="27:29" x14ac:dyDescent="0.25">
      <c r="AA320">
        <f>'5'!C55</f>
        <v>0</v>
      </c>
      <c r="AB320">
        <f>IF(AA320="",0,IF(COUNTIF($AA$1:AA320,AA320)=1,1,0))</f>
        <v>0</v>
      </c>
      <c r="AC320" t="str">
        <f>IF(AB320=1,COUNTIF($AB$1:AB320,1),"")</f>
        <v/>
      </c>
    </row>
    <row r="321" spans="27:29" x14ac:dyDescent="0.25">
      <c r="AA321">
        <f>'5'!C56</f>
        <v>0</v>
      </c>
      <c r="AB321">
        <f>IF(AA321="",0,IF(COUNTIF($AA$1:AA321,AA321)=1,1,0))</f>
        <v>0</v>
      </c>
      <c r="AC321" t="str">
        <f>IF(AB321=1,COUNTIF($AB$1:AB321,1),"")</f>
        <v/>
      </c>
    </row>
    <row r="322" spans="27:29" x14ac:dyDescent="0.25">
      <c r="AA322">
        <f>'5'!C57</f>
        <v>0</v>
      </c>
      <c r="AB322">
        <f>IF(AA322="",0,IF(COUNTIF($AA$1:AA322,AA322)=1,1,0))</f>
        <v>0</v>
      </c>
      <c r="AC322" t="str">
        <f>IF(AB322=1,COUNTIF($AB$1:AB322,1),"")</f>
        <v/>
      </c>
    </row>
    <row r="323" spans="27:29" x14ac:dyDescent="0.25">
      <c r="AA323">
        <f>'5'!C58</f>
        <v>0</v>
      </c>
      <c r="AB323">
        <f>IF(AA323="",0,IF(COUNTIF($AA$1:AA323,AA323)=1,1,0))</f>
        <v>0</v>
      </c>
      <c r="AC323" t="str">
        <f>IF(AB323=1,COUNTIF($AB$1:AB323,1),"")</f>
        <v/>
      </c>
    </row>
    <row r="324" spans="27:29" x14ac:dyDescent="0.25">
      <c r="AA324">
        <f>'5'!C59</f>
        <v>0</v>
      </c>
      <c r="AB324">
        <f>IF(AA324="",0,IF(COUNTIF($AA$1:AA324,AA324)=1,1,0))</f>
        <v>0</v>
      </c>
      <c r="AC324" t="str">
        <f>IF(AB324=1,COUNTIF($AB$1:AB324,1),"")</f>
        <v/>
      </c>
    </row>
    <row r="325" spans="27:29" x14ac:dyDescent="0.25">
      <c r="AA325">
        <f>'5'!C60</f>
        <v>0</v>
      </c>
      <c r="AB325">
        <f>IF(AA325="",0,IF(COUNTIF($AA$1:AA325,AA325)=1,1,0))</f>
        <v>0</v>
      </c>
      <c r="AC325" t="str">
        <f>IF(AB325=1,COUNTIF($AB$1:AB325,1),"")</f>
        <v/>
      </c>
    </row>
    <row r="326" spans="27:29" x14ac:dyDescent="0.25">
      <c r="AA326">
        <f>'5'!C61</f>
        <v>0</v>
      </c>
      <c r="AB326">
        <f>IF(AA326="",0,IF(COUNTIF($AA$1:AA326,AA326)=1,1,0))</f>
        <v>0</v>
      </c>
      <c r="AC326" t="str">
        <f>IF(AB326=1,COUNTIF($AB$1:AB326,1),"")</f>
        <v/>
      </c>
    </row>
    <row r="327" spans="27:29" x14ac:dyDescent="0.25">
      <c r="AA327">
        <f>'5'!C62</f>
        <v>0</v>
      </c>
      <c r="AB327">
        <f>IF(AA327="",0,IF(COUNTIF($AA$1:AA327,AA327)=1,1,0))</f>
        <v>0</v>
      </c>
      <c r="AC327" t="str">
        <f>IF(AB327=1,COUNTIF($AB$1:AB327,1),"")</f>
        <v/>
      </c>
    </row>
    <row r="328" spans="27:29" x14ac:dyDescent="0.25">
      <c r="AA328">
        <f>'5'!C63</f>
        <v>0</v>
      </c>
      <c r="AB328">
        <f>IF(AA328="",0,IF(COUNTIF($AA$1:AA328,AA328)=1,1,0))</f>
        <v>0</v>
      </c>
      <c r="AC328" t="str">
        <f>IF(AB328=1,COUNTIF($AB$1:AB328,1),"")</f>
        <v/>
      </c>
    </row>
    <row r="329" spans="27:29" x14ac:dyDescent="0.25">
      <c r="AA329">
        <f>'5'!C64</f>
        <v>0</v>
      </c>
      <c r="AB329">
        <f>IF(AA329="",0,IF(COUNTIF($AA$1:AA329,AA329)=1,1,0))</f>
        <v>0</v>
      </c>
      <c r="AC329" t="str">
        <f>IF(AB329=1,COUNTIF($AB$1:AB329,1),"")</f>
        <v/>
      </c>
    </row>
    <row r="330" spans="27:29" x14ac:dyDescent="0.25">
      <c r="AA330">
        <f>'5'!C65</f>
        <v>0</v>
      </c>
      <c r="AB330">
        <f>IF(AA330="",0,IF(COUNTIF($AA$1:AA330,AA330)=1,1,0))</f>
        <v>0</v>
      </c>
      <c r="AC330" t="str">
        <f>IF(AB330=1,COUNTIF($AB$1:AB330,1),"")</f>
        <v/>
      </c>
    </row>
    <row r="331" spans="27:29" x14ac:dyDescent="0.25">
      <c r="AA331">
        <f>'5'!C66</f>
        <v>0</v>
      </c>
      <c r="AB331">
        <f>IF(AA331="",0,IF(COUNTIF($AA$1:AA331,AA331)=1,1,0))</f>
        <v>0</v>
      </c>
      <c r="AC331" t="str">
        <f>IF(AB331=1,COUNTIF($AB$1:AB331,1),"")</f>
        <v/>
      </c>
    </row>
    <row r="332" spans="27:29" x14ac:dyDescent="0.25">
      <c r="AA332">
        <f>'5'!C67</f>
        <v>0</v>
      </c>
      <c r="AB332">
        <f>IF(AA332="",0,IF(COUNTIF($AA$1:AA332,AA332)=1,1,0))</f>
        <v>0</v>
      </c>
      <c r="AC332" t="str">
        <f>IF(AB332=1,COUNTIF($AB$1:AB332,1),"")</f>
        <v/>
      </c>
    </row>
    <row r="333" spans="27:29" x14ac:dyDescent="0.25">
      <c r="AA333">
        <f>'5'!C68</f>
        <v>0</v>
      </c>
      <c r="AB333">
        <f>IF(AA333="",0,IF(COUNTIF($AA$1:AA333,AA333)=1,1,0))</f>
        <v>0</v>
      </c>
      <c r="AC333" t="str">
        <f>IF(AB333=1,COUNTIF($AB$1:AB333,1),"")</f>
        <v/>
      </c>
    </row>
    <row r="334" spans="27:29" x14ac:dyDescent="0.25">
      <c r="AA334">
        <f>'5'!C69</f>
        <v>0</v>
      </c>
      <c r="AB334">
        <f>IF(AA334="",0,IF(COUNTIF($AA$1:AA334,AA334)=1,1,0))</f>
        <v>0</v>
      </c>
      <c r="AC334" t="str">
        <f>IF(AB334=1,COUNTIF($AB$1:AB334,1),"")</f>
        <v/>
      </c>
    </row>
    <row r="335" spans="27:29" x14ac:dyDescent="0.25">
      <c r="AA335">
        <f>'5'!C70</f>
        <v>0</v>
      </c>
      <c r="AB335">
        <f>IF(AA335="",0,IF(COUNTIF($AA$1:AA335,AA335)=1,1,0))</f>
        <v>0</v>
      </c>
      <c r="AC335" t="str">
        <f>IF(AB335=1,COUNTIF($AB$1:AB335,1),"")</f>
        <v/>
      </c>
    </row>
    <row r="336" spans="27:29" x14ac:dyDescent="0.25">
      <c r="AA336">
        <f>'5'!C71</f>
        <v>0</v>
      </c>
      <c r="AB336">
        <f>IF(AA336="",0,IF(COUNTIF($AA$1:AA336,AA336)=1,1,0))</f>
        <v>0</v>
      </c>
      <c r="AC336" t="str">
        <f>IF(AB336=1,COUNTIF($AB$1:AB336,1),"")</f>
        <v/>
      </c>
    </row>
    <row r="337" spans="27:29" x14ac:dyDescent="0.25">
      <c r="AA337">
        <f>'5'!C72</f>
        <v>0</v>
      </c>
      <c r="AB337">
        <f>IF(AA337="",0,IF(COUNTIF($AA$1:AA337,AA337)=1,1,0))</f>
        <v>0</v>
      </c>
      <c r="AC337" t="str">
        <f>IF(AB337=1,COUNTIF($AB$1:AB337,1),"")</f>
        <v/>
      </c>
    </row>
    <row r="338" spans="27:29" x14ac:dyDescent="0.25">
      <c r="AA338">
        <f>'5'!C73</f>
        <v>0</v>
      </c>
      <c r="AB338">
        <f>IF(AA338="",0,IF(COUNTIF($AA$1:AA338,AA338)=1,1,0))</f>
        <v>0</v>
      </c>
      <c r="AC338" t="str">
        <f>IF(AB338=1,COUNTIF($AB$1:AB338,1),"")</f>
        <v/>
      </c>
    </row>
    <row r="339" spans="27:29" x14ac:dyDescent="0.25">
      <c r="AA339">
        <f>'5'!C74</f>
        <v>0</v>
      </c>
      <c r="AB339">
        <f>IF(AA339="",0,IF(COUNTIF($AA$1:AA339,AA339)=1,1,0))</f>
        <v>0</v>
      </c>
      <c r="AC339" t="str">
        <f>IF(AB339=1,COUNTIF($AB$1:AB339,1),"")</f>
        <v/>
      </c>
    </row>
    <row r="340" spans="27:29" x14ac:dyDescent="0.25">
      <c r="AA340">
        <f>'5'!C75</f>
        <v>0</v>
      </c>
      <c r="AB340">
        <f>IF(AA340="",0,IF(COUNTIF($AA$1:AA340,AA340)=1,1,0))</f>
        <v>0</v>
      </c>
      <c r="AC340" t="str">
        <f>IF(AB340=1,COUNTIF($AB$1:AB340,1),"")</f>
        <v/>
      </c>
    </row>
    <row r="341" spans="27:29" x14ac:dyDescent="0.25">
      <c r="AA341">
        <f>'5'!C76</f>
        <v>0</v>
      </c>
      <c r="AB341">
        <f>IF(AA341="",0,IF(COUNTIF($AA$1:AA341,AA341)=1,1,0))</f>
        <v>0</v>
      </c>
      <c r="AC341" t="str">
        <f>IF(AB341=1,COUNTIF($AB$1:AB341,1),"")</f>
        <v/>
      </c>
    </row>
    <row r="342" spans="27:29" x14ac:dyDescent="0.25">
      <c r="AA342">
        <f>'5'!C77</f>
        <v>0</v>
      </c>
      <c r="AB342">
        <f>IF(AA342="",0,IF(COUNTIF($AA$1:AA342,AA342)=1,1,0))</f>
        <v>0</v>
      </c>
      <c r="AC342" t="str">
        <f>IF(AB342=1,COUNTIF($AB$1:AB342,1),"")</f>
        <v/>
      </c>
    </row>
    <row r="343" spans="27:29" x14ac:dyDescent="0.25">
      <c r="AA343">
        <f>'5'!C78</f>
        <v>0</v>
      </c>
      <c r="AB343">
        <f>IF(AA343="",0,IF(COUNTIF($AA$1:AA343,AA343)=1,1,0))</f>
        <v>0</v>
      </c>
      <c r="AC343" t="str">
        <f>IF(AB343=1,COUNTIF($AB$1:AB343,1),"")</f>
        <v/>
      </c>
    </row>
    <row r="344" spans="27:29" x14ac:dyDescent="0.25">
      <c r="AA344">
        <f>'5'!C79</f>
        <v>0</v>
      </c>
      <c r="AB344">
        <f>IF(AA344="",0,IF(COUNTIF($AA$1:AA344,AA344)=1,1,0))</f>
        <v>0</v>
      </c>
      <c r="AC344" t="str">
        <f>IF(AB344=1,COUNTIF($AB$1:AB344,1),"")</f>
        <v/>
      </c>
    </row>
    <row r="345" spans="27:29" x14ac:dyDescent="0.25">
      <c r="AA345">
        <f>'5'!C80</f>
        <v>0</v>
      </c>
      <c r="AB345">
        <f>IF(AA345="",0,IF(COUNTIF($AA$1:AA345,AA345)=1,1,0))</f>
        <v>0</v>
      </c>
      <c r="AC345" t="str">
        <f>IF(AB345=1,COUNTIF($AB$1:AB345,1),"")</f>
        <v/>
      </c>
    </row>
    <row r="346" spans="27:29" x14ac:dyDescent="0.25">
      <c r="AA346">
        <f>'5'!C81</f>
        <v>0</v>
      </c>
      <c r="AB346">
        <f>IF(AA346="",0,IF(COUNTIF($AA$1:AA346,AA346)=1,1,0))</f>
        <v>0</v>
      </c>
      <c r="AC346" t="str">
        <f>IF(AB346=1,COUNTIF($AB$1:AB346,1),"")</f>
        <v/>
      </c>
    </row>
    <row r="347" spans="27:29" x14ac:dyDescent="0.25">
      <c r="AA347">
        <f>'5'!C82</f>
        <v>0</v>
      </c>
      <c r="AB347">
        <f>IF(AA347="",0,IF(COUNTIF($AA$1:AA347,AA347)=1,1,0))</f>
        <v>0</v>
      </c>
      <c r="AC347" t="str">
        <f>IF(AB347=1,COUNTIF($AB$1:AB347,1),"")</f>
        <v/>
      </c>
    </row>
    <row r="348" spans="27:29" x14ac:dyDescent="0.25">
      <c r="AA348">
        <f>'5'!C83</f>
        <v>0</v>
      </c>
      <c r="AB348">
        <f>IF(AA348="",0,IF(COUNTIF($AA$1:AA348,AA348)=1,1,0))</f>
        <v>0</v>
      </c>
      <c r="AC348" t="str">
        <f>IF(AB348=1,COUNTIF($AB$1:AB348,1),"")</f>
        <v/>
      </c>
    </row>
    <row r="349" spans="27:29" x14ac:dyDescent="0.25">
      <c r="AA349">
        <f>'5'!C84</f>
        <v>0</v>
      </c>
      <c r="AB349">
        <f>IF(AA349="",0,IF(COUNTIF($AA$1:AA349,AA349)=1,1,0))</f>
        <v>0</v>
      </c>
      <c r="AC349" t="str">
        <f>IF(AB349=1,COUNTIF($AB$1:AB349,1),"")</f>
        <v/>
      </c>
    </row>
    <row r="350" spans="27:29" x14ac:dyDescent="0.25">
      <c r="AA350">
        <f>'5'!C85</f>
        <v>0</v>
      </c>
      <c r="AB350">
        <f>IF(AA350="",0,IF(COUNTIF($AA$1:AA350,AA350)=1,1,0))</f>
        <v>0</v>
      </c>
      <c r="AC350" t="str">
        <f>IF(AB350=1,COUNTIF($AB$1:AB350,1),"")</f>
        <v/>
      </c>
    </row>
    <row r="351" spans="27:29" x14ac:dyDescent="0.25">
      <c r="AA351">
        <f>'5'!C86</f>
        <v>0</v>
      </c>
      <c r="AB351">
        <f>IF(AA351="",0,IF(COUNTIF($AA$1:AA351,AA351)=1,1,0))</f>
        <v>0</v>
      </c>
      <c r="AC351" t="str">
        <f>IF(AB351=1,COUNTIF($AB$1:AB351,1),"")</f>
        <v/>
      </c>
    </row>
    <row r="352" spans="27:29" x14ac:dyDescent="0.25">
      <c r="AA352">
        <f>'5'!C87</f>
        <v>0</v>
      </c>
      <c r="AB352">
        <f>IF(AA352="",0,IF(COUNTIF($AA$1:AA352,AA352)=1,1,0))</f>
        <v>0</v>
      </c>
      <c r="AC352" t="str">
        <f>IF(AB352=1,COUNTIF($AB$1:AB352,1),"")</f>
        <v/>
      </c>
    </row>
    <row r="353" spans="27:29" x14ac:dyDescent="0.25">
      <c r="AA353">
        <f>'5'!C88</f>
        <v>0</v>
      </c>
      <c r="AB353">
        <f>IF(AA353="",0,IF(COUNTIF($AA$1:AA353,AA353)=1,1,0))</f>
        <v>0</v>
      </c>
      <c r="AC353" t="str">
        <f>IF(AB353=1,COUNTIF($AB$1:AB353,1),"")</f>
        <v/>
      </c>
    </row>
    <row r="354" spans="27:29" x14ac:dyDescent="0.25">
      <c r="AA354">
        <f>'5'!C89</f>
        <v>0</v>
      </c>
      <c r="AB354">
        <f>IF(AA354="",0,IF(COUNTIF($AA$1:AA354,AA354)=1,1,0))</f>
        <v>0</v>
      </c>
      <c r="AC354" t="str">
        <f>IF(AB354=1,COUNTIF($AB$1:AB354,1),"")</f>
        <v/>
      </c>
    </row>
    <row r="355" spans="27:29" x14ac:dyDescent="0.25">
      <c r="AA355">
        <f>'5'!C90</f>
        <v>0</v>
      </c>
      <c r="AB355">
        <f>IF(AA355="",0,IF(COUNTIF($AA$1:AA355,AA355)=1,1,0))</f>
        <v>0</v>
      </c>
      <c r="AC355" t="str">
        <f>IF(AB355=1,COUNTIF($AB$1:AB355,1),"")</f>
        <v/>
      </c>
    </row>
    <row r="356" spans="27:29" x14ac:dyDescent="0.25">
      <c r="AA356">
        <f>'5'!C91</f>
        <v>0</v>
      </c>
      <c r="AB356">
        <f>IF(AA356="",0,IF(COUNTIF($AA$1:AA356,AA356)=1,1,0))</f>
        <v>0</v>
      </c>
      <c r="AC356" t="str">
        <f>IF(AB356=1,COUNTIF($AB$1:AB356,1),"")</f>
        <v/>
      </c>
    </row>
    <row r="357" spans="27:29" x14ac:dyDescent="0.25">
      <c r="AA357">
        <f>'5'!C92</f>
        <v>0</v>
      </c>
      <c r="AB357">
        <f>IF(AA357="",0,IF(COUNTIF($AA$1:AA357,AA357)=1,1,0))</f>
        <v>0</v>
      </c>
      <c r="AC357" t="str">
        <f>IF(AB357=1,COUNTIF($AB$1:AB357,1),"")</f>
        <v/>
      </c>
    </row>
    <row r="358" spans="27:29" x14ac:dyDescent="0.25">
      <c r="AA358">
        <f>'5'!C93</f>
        <v>0</v>
      </c>
      <c r="AB358">
        <f>IF(AA358="",0,IF(COUNTIF($AA$1:AA358,AA358)=1,1,0))</f>
        <v>0</v>
      </c>
      <c r="AC358" t="str">
        <f>IF(AB358=1,COUNTIF($AB$1:AB358,1),"")</f>
        <v/>
      </c>
    </row>
    <row r="359" spans="27:29" x14ac:dyDescent="0.25">
      <c r="AA359">
        <f>'5'!C94</f>
        <v>0</v>
      </c>
      <c r="AB359">
        <f>IF(AA359="",0,IF(COUNTIF($AA$1:AA359,AA359)=1,1,0))</f>
        <v>0</v>
      </c>
      <c r="AC359" t="str">
        <f>IF(AB359=1,COUNTIF($AB$1:AB359,1),"")</f>
        <v/>
      </c>
    </row>
    <row r="360" spans="27:29" x14ac:dyDescent="0.25">
      <c r="AA360">
        <f>'5'!C95</f>
        <v>0</v>
      </c>
      <c r="AB360">
        <f>IF(AA360="",0,IF(COUNTIF($AA$1:AA360,AA360)=1,1,0))</f>
        <v>0</v>
      </c>
      <c r="AC360" t="str">
        <f>IF(AB360=1,COUNTIF($AB$1:AB360,1),"")</f>
        <v/>
      </c>
    </row>
    <row r="361" spans="27:29" x14ac:dyDescent="0.25">
      <c r="AA361">
        <f>'5'!C96</f>
        <v>0</v>
      </c>
      <c r="AB361">
        <f>IF(AA361="",0,IF(COUNTIF($AA$1:AA361,AA361)=1,1,0))</f>
        <v>0</v>
      </c>
      <c r="AC361" t="str">
        <f>IF(AB361=1,COUNTIF($AB$1:AB361,1),"")</f>
        <v/>
      </c>
    </row>
    <row r="362" spans="27:29" x14ac:dyDescent="0.25">
      <c r="AA362">
        <f>'5'!C97</f>
        <v>0</v>
      </c>
      <c r="AB362">
        <f>IF(AA362="",0,IF(COUNTIF($AA$1:AA362,AA362)=1,1,0))</f>
        <v>0</v>
      </c>
      <c r="AC362" t="str">
        <f>IF(AB362=1,COUNTIF($AB$1:AB362,1),"")</f>
        <v/>
      </c>
    </row>
    <row r="363" spans="27:29" x14ac:dyDescent="0.25">
      <c r="AA363">
        <f>'5'!C98</f>
        <v>0</v>
      </c>
      <c r="AB363">
        <f>IF(AA363="",0,IF(COUNTIF($AA$1:AA363,AA363)=1,1,0))</f>
        <v>0</v>
      </c>
      <c r="AC363" t="str">
        <f>IF(AB363=1,COUNTIF($AB$1:AB363,1),"")</f>
        <v/>
      </c>
    </row>
    <row r="364" spans="27:29" x14ac:dyDescent="0.25">
      <c r="AA364">
        <f>'5'!C99</f>
        <v>0</v>
      </c>
      <c r="AB364">
        <f>IF(AA364="",0,IF(COUNTIF($AA$1:AA364,AA364)=1,1,0))</f>
        <v>0</v>
      </c>
      <c r="AC364" t="str">
        <f>IF(AB364=1,COUNTIF($AB$1:AB364,1),"")</f>
        <v/>
      </c>
    </row>
    <row r="365" spans="27:29" x14ac:dyDescent="0.25">
      <c r="AA365">
        <f>'5'!C100</f>
        <v>0</v>
      </c>
      <c r="AB365">
        <f>IF(AA365="",0,IF(COUNTIF($AA$1:AA365,AA365)=1,1,0))</f>
        <v>0</v>
      </c>
      <c r="AC365" t="str">
        <f>IF(AB365=1,COUNTIF($AB$1:AB365,1),"")</f>
        <v/>
      </c>
    </row>
    <row r="366" spans="27:29" x14ac:dyDescent="0.25">
      <c r="AA366">
        <f>'5'!C101</f>
        <v>0</v>
      </c>
      <c r="AB366">
        <f>IF(AA366="",0,IF(COUNTIF($AA$1:AA366,AA366)=1,1,0))</f>
        <v>0</v>
      </c>
      <c r="AC366" t="str">
        <f>IF(AB366=1,COUNTIF($AB$1:AB366,1),"")</f>
        <v/>
      </c>
    </row>
    <row r="367" spans="27:29" x14ac:dyDescent="0.25">
      <c r="AA367">
        <f>'5'!C102</f>
        <v>0</v>
      </c>
      <c r="AB367">
        <f>IF(AA367="",0,IF(COUNTIF($AA$1:AA367,AA367)=1,1,0))</f>
        <v>0</v>
      </c>
      <c r="AC367" t="str">
        <f>IF(AB367=1,COUNTIF($AB$1:AB367,1),"")</f>
        <v/>
      </c>
    </row>
    <row r="368" spans="27:29" x14ac:dyDescent="0.25">
      <c r="AA368">
        <f>'5'!C103</f>
        <v>0</v>
      </c>
      <c r="AB368">
        <f>IF(AA368="",0,IF(COUNTIF($AA$1:AA368,AA368)=1,1,0))</f>
        <v>0</v>
      </c>
      <c r="AC368" t="str">
        <f>IF(AB368=1,COUNTIF($AB$1:AB368,1),"")</f>
        <v/>
      </c>
    </row>
  </sheetData>
  <autoFilter ref="A3:O203" xr:uid="{00000000-0009-0000-0000-000006000000}">
    <sortState xmlns:xlrd2="http://schemas.microsoft.com/office/spreadsheetml/2017/richdata2" ref="A4:O203">
      <sortCondition ref="A4:A203"/>
    </sortState>
  </autoFilter>
  <sortState xmlns:xlrd2="http://schemas.microsoft.com/office/spreadsheetml/2017/richdata2" ref="A4:O368">
    <sortCondition ref="O3:O368"/>
  </sortState>
  <mergeCells count="2">
    <mergeCell ref="A1:O1"/>
    <mergeCell ref="A2:O2"/>
  </mergeCells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400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N3" sqref="N1:N1048576"/>
    </sheetView>
  </sheetViews>
  <sheetFormatPr defaultColWidth="8.7109375" defaultRowHeight="15" x14ac:dyDescent="0.25"/>
  <cols>
    <col min="1" max="1" width="28" customWidth="1"/>
    <col min="2" max="2" width="24" customWidth="1"/>
    <col min="3" max="3" width="8" customWidth="1"/>
    <col min="4" max="4" width="10" customWidth="1"/>
    <col min="5" max="5" width="8" customWidth="1"/>
    <col min="6" max="6" width="10" customWidth="1"/>
    <col min="7" max="7" width="8" customWidth="1"/>
    <col min="8" max="8" width="10" customWidth="1"/>
    <col min="9" max="9" width="8" customWidth="1"/>
    <col min="10" max="10" width="10" customWidth="1"/>
    <col min="11" max="11" width="8" customWidth="1"/>
    <col min="12" max="14" width="10" customWidth="1"/>
    <col min="27" max="29" width="13" hidden="1" customWidth="1"/>
  </cols>
  <sheetData>
    <row r="1" spans="1:29" ht="18" customHeight="1" x14ac:dyDescent="0.25">
      <c r="A1" s="42" t="s">
        <v>156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AA1" t="str">
        <f>Barneveld!C40</f>
        <v>Roy Barten</v>
      </c>
      <c r="AB1">
        <f>IF(AA1="",0,IF(COUNTIF($AA$1:AA1,AA1)=1,1,0))</f>
        <v>1</v>
      </c>
      <c r="AC1">
        <f>IF(AB1=1,COUNTIF($AB$1:AB1,1),"")</f>
        <v>1</v>
      </c>
    </row>
    <row r="2" spans="1:29" x14ac:dyDescent="0.25">
      <c r="A2" s="43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AA2" t="str">
        <f>Barneveld!C41</f>
        <v>Aleid Klompmaker</v>
      </c>
      <c r="AB2">
        <f>IF(AA2="",0,IF(COUNTIF($AA$1:AA2,AA2)=1,1,0))</f>
        <v>1</v>
      </c>
      <c r="AC2">
        <f>IF(AB2=1,COUNTIF($AB$1:AB2,1),"")</f>
        <v>2</v>
      </c>
    </row>
    <row r="3" spans="1:29" ht="30" customHeight="1" x14ac:dyDescent="0.25">
      <c r="A3" s="23" t="s">
        <v>27</v>
      </c>
      <c r="B3" s="23" t="s">
        <v>29</v>
      </c>
      <c r="C3" s="23" t="s">
        <v>146</v>
      </c>
      <c r="D3" s="23" t="s">
        <v>147</v>
      </c>
      <c r="E3" s="23" t="s">
        <v>148</v>
      </c>
      <c r="F3" s="23" t="s">
        <v>149</v>
      </c>
      <c r="G3" s="35" t="s">
        <v>307</v>
      </c>
      <c r="H3" s="23" t="s">
        <v>150</v>
      </c>
      <c r="I3" s="23" t="s">
        <v>151</v>
      </c>
      <c r="J3" s="23" t="s">
        <v>152</v>
      </c>
      <c r="K3" s="23" t="s">
        <v>153</v>
      </c>
      <c r="L3" s="23" t="s">
        <v>154</v>
      </c>
      <c r="M3" s="23" t="s">
        <v>155</v>
      </c>
      <c r="N3" s="23" t="s">
        <v>25</v>
      </c>
      <c r="AA3" t="str">
        <f>Barneveld!C42</f>
        <v>Dennis Hazelaar</v>
      </c>
      <c r="AB3">
        <f>IF(AA3="",0,IF(COUNTIF($AA$1:AA3,AA3)=1,1,0))</f>
        <v>1</v>
      </c>
      <c r="AC3">
        <f>IF(AB3=1,COUNTIF($AB$1:AB3,1),"")</f>
        <v>3</v>
      </c>
    </row>
    <row r="4" spans="1:29" x14ac:dyDescent="0.25">
      <c r="A4" s="13" t="str">
        <f>IFERROR(INDEX($AA$1:$AA$400,MATCH(1,$AC$1:$AC$400,0)),"")</f>
        <v>Roy Barten</v>
      </c>
      <c r="B4" s="13" t="str">
        <f>IF($A4="","",IF(IFERROR(INDEX(Barneveld!$E$40:$E$139,MATCH($A4,Barneveld!$C$40:$C$139,0)),"")&lt;&gt;"",IFERROR(INDEX(Barneveld!$E$40:$E$139,MATCH($A4,Barneveld!$C$40:$C$139,0)),""),IF(IFERROR(INDEX(Scherpenzeel!$F$107:$F$206,MATCH($A4,Scherpenzeel!$C$107:$C$206,0)),"")&lt;&gt;"",IFERROR(INDEX(Scherpenzeel!$F$107:$F$206,MATCH($A4,Scherpenzeel!$C$107:$C$206,0)),""),IF(IFERROR(INDEX('4'!$F$107:$F$206,MATCH($A4,'4'!$C$107:$C$206,0)),"")&lt;&gt;"",IFERROR(INDEX('4'!$F$107:$F$206,MATCH($A4,'4'!$C$107:$C$206,0)),""),IFERROR(INDEX('5'!$F$107:$F$206,MATCH($A4,'5'!$C$107:$C$206,0)),"")))))</f>
        <v/>
      </c>
      <c r="C4" s="24">
        <f>IF($A4="","",IFERROR(INDEX(Barneveld!$A$40:$A$139,MATCH($A4,Barneveld!$C$40:$C$139,0)),""))</f>
        <v>1</v>
      </c>
      <c r="D4" s="15">
        <f>IF($A4="",0,IFERROR(INDEX(Barneveld!$H$40:$H$139,MATCH($A4,Barneveld!$C$40:$C$139,0)),0))</f>
        <v>100.1</v>
      </c>
      <c r="E4" s="24" t="str">
        <f>""</f>
        <v/>
      </c>
      <c r="F4" s="15">
        <f>0</f>
        <v>0</v>
      </c>
      <c r="G4" s="24">
        <f>IF($A4="","",IFERROR(INDEX(Scherpenzeel!$A$107:$A$206,MATCH($A4,Scherpenzeel!$C$107:$C$206,0)),""))</f>
        <v>5</v>
      </c>
      <c r="H4" s="15">
        <f>IF($A4="",0,IFERROR(INDEX(Scherpenzeel!$I$107:$I$206,MATCH($A4,Scherpenzeel!$C$107:$C$206,0)),0))</f>
        <v>75</v>
      </c>
      <c r="I4" s="24" t="str">
        <f>IF($A4="","",IFERROR(INDEX('4'!$A$107:$A$206,MATCH($A4,'4'!$C$107:$C$206,0)),""))</f>
        <v/>
      </c>
      <c r="J4" s="15">
        <f>IF($A4="",0,IFERROR(INDEX('4'!$I$107:$I$206,MATCH($A4,'4'!$C$107:$C$206,0)),0))</f>
        <v>0</v>
      </c>
      <c r="K4" s="24" t="str">
        <f>IF($A4="","",IFERROR(INDEX('5'!$A$107:$A$206,MATCH($A4,'5'!$C$107:$C$206,0)),""))</f>
        <v/>
      </c>
      <c r="L4" s="15">
        <f>IF($A4="",0,IFERROR(INDEX('5'!$I$107:$I$206,MATCH($A4,'5'!$C$107:$C$206,0)),0))</f>
        <v>0</v>
      </c>
      <c r="M4" s="25">
        <f>IF($A4="","",D4+F4+H4+J4+L4)</f>
        <v>175.1</v>
      </c>
      <c r="N4" s="26">
        <f>IF(OR($A4="",M4="",M4=0),"",RANK(M4,$M$4:$M$203,0))</f>
        <v>1</v>
      </c>
      <c r="AA4" t="str">
        <f>Barneveld!C43</f>
        <v>Frank Weijers</v>
      </c>
      <c r="AB4">
        <f>IF(AA4="",0,IF(COUNTIF($AA$1:AA4,AA4)=1,1,0))</f>
        <v>1</v>
      </c>
      <c r="AC4">
        <f>IF(AB4=1,COUNTIF($AB$1:AB4,1),"")</f>
        <v>4</v>
      </c>
    </row>
    <row r="5" spans="1:29" x14ac:dyDescent="0.25">
      <c r="A5" s="13" t="str">
        <f>IFERROR(INDEX($AA$1:$AA$400,MATCH(5,$AC$1:$AC$400,0)),"")</f>
        <v>Stephan Schipper</v>
      </c>
      <c r="B5" s="13" t="str">
        <f>IF($A5="","",IF(IFERROR(INDEX(Barneveld!$E$40:$E$139,MATCH($A5,Barneveld!$C$40:$C$139,0)),"")&lt;&gt;"",IFERROR(INDEX(Barneveld!$E$40:$E$139,MATCH($A5,Barneveld!$C$40:$C$139,0)),""),IF(IFERROR(INDEX(Scherpenzeel!$F$107:$F$206,MATCH($A5,Scherpenzeel!$C$107:$C$206,0)),"")&lt;&gt;"",IFERROR(INDEX(Scherpenzeel!$F$107:$F$206,MATCH($A5,Scherpenzeel!$C$107:$C$206,0)),""),IF(IFERROR(INDEX('4'!$F$107:$F$206,MATCH($A5,'4'!$C$107:$C$206,0)),"")&lt;&gt;"",IFERROR(INDEX('4'!$F$107:$F$206,MATCH($A5,'4'!$C$107:$C$206,0)),""),IFERROR(INDEX('5'!$F$107:$F$206,MATCH($A5,'5'!$C$107:$C$206,0)),"")))))</f>
        <v>KNWU</v>
      </c>
      <c r="C5" s="24">
        <f>IF($A5="","",IFERROR(INDEX(Barneveld!$A$40:$A$139,MATCH($A5,Barneveld!$C$40:$C$139,0)),""))</f>
        <v>5</v>
      </c>
      <c r="D5" s="15">
        <f>IF($A5="",0,IFERROR(INDEX(Barneveld!$H$40:$H$139,MATCH($A5,Barneveld!$C$40:$C$139,0)),0))</f>
        <v>75</v>
      </c>
      <c r="E5" s="24" t="str">
        <f>""</f>
        <v/>
      </c>
      <c r="F5" s="15">
        <f>0</f>
        <v>0</v>
      </c>
      <c r="G5" s="24">
        <f>IF($A5="","",IFERROR(INDEX(Scherpenzeel!$A$107:$A$206,MATCH($A5,Scherpenzeel!$C$107:$C$206,0)),""))</f>
        <v>3</v>
      </c>
      <c r="H5" s="15">
        <f>IF($A5="",0,IFERROR(INDEX(Scherpenzeel!$I$107:$I$206,MATCH($A5,Scherpenzeel!$C$107:$C$206,0)),0))</f>
        <v>85</v>
      </c>
      <c r="I5" s="24" t="str">
        <f>IF($A5="","",IFERROR(INDEX('4'!$A$107:$A$206,MATCH($A5,'4'!$C$107:$C$206,0)),""))</f>
        <v/>
      </c>
      <c r="J5" s="15">
        <f>IF($A5="",0,IFERROR(INDEX('4'!$I$107:$I$206,MATCH($A5,'4'!$C$107:$C$206,0)),0))</f>
        <v>0</v>
      </c>
      <c r="K5" s="24" t="str">
        <f>IF($A5="","",IFERROR(INDEX('5'!$A$107:$A$206,MATCH($A5,'5'!$C$107:$C$206,0)),""))</f>
        <v/>
      </c>
      <c r="L5" s="15">
        <f>IF($A5="",0,IFERROR(INDEX('5'!$I$107:$I$206,MATCH($A5,'5'!$C$107:$C$206,0)),0))</f>
        <v>0</v>
      </c>
      <c r="M5" s="25">
        <f>IF($A5="","",D5+F5+H5+J5+L5)</f>
        <v>160</v>
      </c>
      <c r="N5" s="26">
        <f>IF(OR($A5="",M5="",M5=0),"",RANK(M5,$M$4:$M$203,0))</f>
        <v>2</v>
      </c>
      <c r="AA5" t="str">
        <f>Barneveld!C44</f>
        <v>Stephan Schipper</v>
      </c>
      <c r="AB5">
        <f>IF(AA5="",0,IF(COUNTIF($AA$1:AA5,AA5)=1,1,0))</f>
        <v>1</v>
      </c>
      <c r="AC5">
        <f>IF(AB5=1,COUNTIF($AB$1:AB5,1),"")</f>
        <v>5</v>
      </c>
    </row>
    <row r="6" spans="1:29" x14ac:dyDescent="0.25">
      <c r="A6" s="13" t="str">
        <f>IFERROR(INDEX($AA$1:$AA$400,MATCH(31,$AC$1:$AC$400,0)),"")</f>
        <v>Floris Pennings</v>
      </c>
      <c r="B6" s="13" t="str">
        <f>IF($A6="","",IF(IFERROR(INDEX(Barneveld!$E$40:$E$139,MATCH($A6,Barneveld!$C$40:$C$139,0)),"")&lt;&gt;"",IFERROR(INDEX(Barneveld!$E$40:$E$139,MATCH($A6,Barneveld!$C$40:$C$139,0)),""),IF(IFERROR(INDEX(Scherpenzeel!$F$107:$F$206,MATCH($A6,Scherpenzeel!$C$107:$C$206,0)),"")&lt;&gt;"",IFERROR(INDEX(Scherpenzeel!$F$107:$F$206,MATCH($A6,Scherpenzeel!$C$107:$C$206,0)),""),IF(IFERROR(INDEX('4'!$F$107:$F$206,MATCH($A6,'4'!$C$107:$C$206,0)),"")&lt;&gt;"",IFERROR(INDEX('4'!$F$107:$F$206,MATCH($A6,'4'!$C$107:$C$206,0)),""),IFERROR(INDEX('5'!$F$107:$F$206,MATCH($A6,'5'!$C$107:$C$206,0)),"")))))</f>
        <v>TML Dommelstreek</v>
      </c>
      <c r="C6" s="24" t="str">
        <f>IF($A6="","",IFERROR(INDEX(Barneveld!$A$40:$A$139,MATCH($A6,Barneveld!$C$40:$C$139,0)),""))</f>
        <v/>
      </c>
      <c r="D6" s="15">
        <f>IF($A6="",0,IFERROR(INDEX(Barneveld!$H$40:$H$139,MATCH($A6,Barneveld!$C$40:$C$139,0)),0))</f>
        <v>0</v>
      </c>
      <c r="E6" s="24" t="str">
        <f>""</f>
        <v/>
      </c>
      <c r="F6" s="15">
        <f>0</f>
        <v>0</v>
      </c>
      <c r="G6" s="24">
        <f>IF($A6="","",IFERROR(INDEX(Scherpenzeel!$A$107:$A$206,MATCH($A6,Scherpenzeel!$C$107:$C$206,0)),""))</f>
        <v>1</v>
      </c>
      <c r="H6" s="15">
        <f>IF($A6="",0,IFERROR(INDEX(Scherpenzeel!$I$107:$I$206,MATCH($A6,Scherpenzeel!$C$107:$C$206,0)),0))</f>
        <v>100.1</v>
      </c>
      <c r="I6" s="24" t="str">
        <f>IF($A6="","",IFERROR(INDEX('4'!$A$107:$A$206,MATCH($A6,'4'!$C$107:$C$206,0)),""))</f>
        <v/>
      </c>
      <c r="J6" s="15">
        <f>IF($A6="",0,IFERROR(INDEX('4'!$I$107:$I$206,MATCH($A6,'4'!$C$107:$C$206,0)),0))</f>
        <v>0</v>
      </c>
      <c r="K6" s="24" t="str">
        <f>IF($A6="","",IFERROR(INDEX('5'!$A$107:$A$206,MATCH($A6,'5'!$C$107:$C$206,0)),""))</f>
        <v/>
      </c>
      <c r="L6" s="15">
        <f>IF($A6="",0,IFERROR(INDEX('5'!$I$107:$I$206,MATCH($A6,'5'!$C$107:$C$206,0)),0))</f>
        <v>0</v>
      </c>
      <c r="M6" s="25">
        <f>IF($A6="","",D6+F6+H6+J6+L6)</f>
        <v>100.1</v>
      </c>
      <c r="N6" s="26">
        <f>IF(OR($A6="",M6="",M6=0),"",RANK(M6,$M$4:$M$203,0))</f>
        <v>3</v>
      </c>
      <c r="AA6" t="str">
        <f>Barneveld!C45</f>
        <v>Maarten Pereboom</v>
      </c>
      <c r="AB6">
        <f>IF(AA6="",0,IF(COUNTIF($AA$1:AA6,AA6)=1,1,0))</f>
        <v>1</v>
      </c>
      <c r="AC6">
        <f>IF(AB6=1,COUNTIF($AB$1:AB6,1),"")</f>
        <v>6</v>
      </c>
    </row>
    <row r="7" spans="1:29" x14ac:dyDescent="0.25">
      <c r="A7" s="13" t="str">
        <f>IFERROR(INDEX($AA$1:$AA$400,MATCH(12,$AC$1:$AC$400,0)),"")</f>
        <v>Brian Linde</v>
      </c>
      <c r="B7" s="13" t="str">
        <f>IF($A7="","",IF(IFERROR(INDEX(Barneveld!$E$40:$E$139,MATCH($A7,Barneveld!$C$40:$C$139,0)),"")&lt;&gt;"",IFERROR(INDEX(Barneveld!$E$40:$E$139,MATCH($A7,Barneveld!$C$40:$C$139,0)),""),IF(IFERROR(INDEX(Scherpenzeel!$F$107:$F$206,MATCH($A7,Scherpenzeel!$C$107:$C$206,0)),"")&lt;&gt;"",IFERROR(INDEX(Scherpenzeel!$F$107:$F$206,MATCH($A7,Scherpenzeel!$C$107:$C$206,0)),""),IF(IFERROR(INDEX('4'!$F$107:$F$206,MATCH($A7,'4'!$C$107:$C$206,0)),"")&lt;&gt;"",IFERROR(INDEX('4'!$F$107:$F$206,MATCH($A7,'4'!$C$107:$C$206,0)),""),IFERROR(INDEX('5'!$F$107:$F$206,MATCH($A7,'5'!$C$107:$C$206,0)),"")))))</f>
        <v>W.V. Eemland</v>
      </c>
      <c r="C7" s="24">
        <f>IF($A7="","",IFERROR(INDEX(Barneveld!$A$40:$A$139,MATCH($A7,Barneveld!$C$40:$C$139,0)),""))</f>
        <v>12</v>
      </c>
      <c r="D7" s="15">
        <f>IF($A7="",0,IFERROR(INDEX(Barneveld!$H$40:$H$139,MATCH($A7,Barneveld!$C$40:$C$139,0)),0))</f>
        <v>47</v>
      </c>
      <c r="E7" s="24" t="str">
        <f>""</f>
        <v/>
      </c>
      <c r="F7" s="15">
        <f>0</f>
        <v>0</v>
      </c>
      <c r="G7" s="24">
        <f>IF($A7="","",IFERROR(INDEX(Scherpenzeel!$A$107:$A$206,MATCH($A7,Scherpenzeel!$C$107:$C$206,0)),""))</f>
        <v>13</v>
      </c>
      <c r="H7" s="15">
        <f>IF($A7="",0,IFERROR(INDEX(Scherpenzeel!$I$107:$I$206,MATCH($A7,Scherpenzeel!$C$107:$C$206,0)),0))</f>
        <v>44</v>
      </c>
      <c r="I7" s="24" t="str">
        <f>IF($A7="","",IFERROR(INDEX('4'!$A$107:$A$206,MATCH($A7,'4'!$C$107:$C$206,0)),""))</f>
        <v/>
      </c>
      <c r="J7" s="15">
        <f>IF($A7="",0,IFERROR(INDEX('4'!$I$107:$I$206,MATCH($A7,'4'!$C$107:$C$206,0)),0))</f>
        <v>0</v>
      </c>
      <c r="K7" s="24" t="str">
        <f>IF($A7="","",IFERROR(INDEX('5'!$A$107:$A$206,MATCH($A7,'5'!$C$107:$C$206,0)),""))</f>
        <v/>
      </c>
      <c r="L7" s="15">
        <f>IF($A7="",0,IFERROR(INDEX('5'!$I$107:$I$206,MATCH($A7,'5'!$C$107:$C$206,0)),0))</f>
        <v>0</v>
      </c>
      <c r="M7" s="25">
        <f>IF($A7="","",D7+F7+H7+J7+L7)</f>
        <v>91</v>
      </c>
      <c r="N7" s="26">
        <f>IF(OR($A7="",M7="",M7=0),"",RANK(M7,$M$4:$M$203,0))</f>
        <v>4</v>
      </c>
      <c r="AA7" t="str">
        <f>Barneveld!C46</f>
        <v>Jaap Mekenkamp</v>
      </c>
      <c r="AB7">
        <f>IF(AA7="",0,IF(COUNTIF($AA$1:AA7,AA7)=1,1,0))</f>
        <v>1</v>
      </c>
      <c r="AC7">
        <f>IF(AB7=1,COUNTIF($AB$1:AB7,1),"")</f>
        <v>7</v>
      </c>
    </row>
    <row r="8" spans="1:29" x14ac:dyDescent="0.25">
      <c r="A8" s="13" t="str">
        <f>IFERROR(INDEX($AA$1:$AA$400,MATCH(2,$AC$1:$AC$400,0)),"")</f>
        <v>Aleid Klompmaker</v>
      </c>
      <c r="B8" s="13" t="str">
        <f>IF($A8="","",IF(IFERROR(INDEX(Barneveld!$E$40:$E$139,MATCH($A8,Barneveld!$C$40:$C$139,0)),"")&lt;&gt;"",IFERROR(INDEX(Barneveld!$E$40:$E$139,MATCH($A8,Barneveld!$C$40:$C$139,0)),""),IF(IFERROR(INDEX(Scherpenzeel!$F$107:$F$206,MATCH($A8,Scherpenzeel!$C$107:$C$206,0)),"")&lt;&gt;"",IFERROR(INDEX(Scherpenzeel!$F$107:$F$206,MATCH($A8,Scherpenzeel!$C$107:$C$206,0)),""),IF(IFERROR(INDEX('4'!$F$107:$F$206,MATCH($A8,'4'!$C$107:$C$206,0)),"")&lt;&gt;"",IFERROR(INDEX('4'!$F$107:$F$206,MATCH($A8,'4'!$C$107:$C$206,0)),""),IFERROR(INDEX('5'!$F$107:$F$206,MATCH($A8,'5'!$C$107:$C$206,0)),"")))))</f>
        <v/>
      </c>
      <c r="C8" s="24">
        <f>IF($A8="","",IFERROR(INDEX(Barneveld!$A$40:$A$139,MATCH($A8,Barneveld!$C$40:$C$139,0)),""))</f>
        <v>2</v>
      </c>
      <c r="D8" s="15">
        <f>IF($A8="",0,IFERROR(INDEX(Barneveld!$H$40:$H$139,MATCH($A8,Barneveld!$C$40:$C$139,0)),0))</f>
        <v>90</v>
      </c>
      <c r="E8" s="24" t="str">
        <f>""</f>
        <v/>
      </c>
      <c r="F8" s="15">
        <f>0</f>
        <v>0</v>
      </c>
      <c r="G8" s="24" t="str">
        <f>IF($A8="","",IFERROR(INDEX(Scherpenzeel!$A$107:$A$206,MATCH($A8,Scherpenzeel!$C$107:$C$206,0)),""))</f>
        <v/>
      </c>
      <c r="H8" s="15">
        <f>IF($A8="",0,IFERROR(INDEX(Scherpenzeel!$I$107:$I$206,MATCH($A8,Scherpenzeel!$C$107:$C$206,0)),0))</f>
        <v>0</v>
      </c>
      <c r="I8" s="24" t="str">
        <f>IF($A8="","",IFERROR(INDEX('4'!$A$107:$A$206,MATCH($A8,'4'!$C$107:$C$206,0)),""))</f>
        <v/>
      </c>
      <c r="J8" s="15">
        <f>IF($A8="",0,IFERROR(INDEX('4'!$I$107:$I$206,MATCH($A8,'4'!$C$107:$C$206,0)),0))</f>
        <v>0</v>
      </c>
      <c r="K8" s="24" t="str">
        <f>IF($A8="","",IFERROR(INDEX('5'!$A$107:$A$206,MATCH($A8,'5'!$C$107:$C$206,0)),""))</f>
        <v/>
      </c>
      <c r="L8" s="15">
        <f>IF($A8="",0,IFERROR(INDEX('5'!$I$107:$I$206,MATCH($A8,'5'!$C$107:$C$206,0)),0))</f>
        <v>0</v>
      </c>
      <c r="M8" s="25">
        <f>IF($A8="","",D8+F8+H8+J8+L8)</f>
        <v>90</v>
      </c>
      <c r="N8" s="26">
        <f>IF(OR($A8="",M8="",M8=0),"",RANK(M8,$M$4:$M$203,0))</f>
        <v>5</v>
      </c>
      <c r="AA8" t="str">
        <f>Barneveld!C47</f>
        <v>Robert Post</v>
      </c>
      <c r="AB8">
        <f>IF(AA8="",0,IF(COUNTIF($AA$1:AA8,AA8)=1,1,0))</f>
        <v>1</v>
      </c>
      <c r="AC8">
        <f>IF(AB8=1,COUNTIF($AB$1:AB8,1),"")</f>
        <v>8</v>
      </c>
    </row>
    <row r="9" spans="1:29" x14ac:dyDescent="0.25">
      <c r="A9" s="13" t="str">
        <f>IFERROR(INDEX($AA$1:$AA$400,MATCH(32,$AC$1:$AC$400,0)),"")</f>
        <v>Douwe Beukers</v>
      </c>
      <c r="B9" s="13" t="str">
        <f>IF($A9="","",IF(IFERROR(INDEX(Barneveld!$E$40:$E$139,MATCH($A9,Barneveld!$C$40:$C$139,0)),"")&lt;&gt;"",IFERROR(INDEX(Barneveld!$E$40:$E$139,MATCH($A9,Barneveld!$C$40:$C$139,0)),""),IF(IFERROR(INDEX(Scherpenzeel!$F$107:$F$206,MATCH($A9,Scherpenzeel!$C$107:$C$206,0)),"")&lt;&gt;"",IFERROR(INDEX(Scherpenzeel!$F$107:$F$206,MATCH($A9,Scherpenzeel!$C$107:$C$206,0)),""),IF(IFERROR(INDEX('4'!$F$107:$F$206,MATCH($A9,'4'!$C$107:$C$206,0)),"")&lt;&gt;"",IFERROR(INDEX('4'!$F$107:$F$206,MATCH($A9,'4'!$C$107:$C$206,0)),""),IFERROR(INDEX('5'!$F$107:$F$206,MATCH($A9,'5'!$C$107:$C$206,0)),"")))))</f>
        <v>KNWU</v>
      </c>
      <c r="C9" s="24" t="str">
        <f>IF($A9="","",IFERROR(INDEX(Barneveld!$A$40:$A$139,MATCH($A9,Barneveld!$C$40:$C$139,0)),""))</f>
        <v/>
      </c>
      <c r="D9" s="15">
        <f>IF($A9="",0,IFERROR(INDEX(Barneveld!$H$40:$H$139,MATCH($A9,Barneveld!$C$40:$C$139,0)),0))</f>
        <v>0</v>
      </c>
      <c r="E9" s="24" t="str">
        <f>""</f>
        <v/>
      </c>
      <c r="F9" s="15">
        <f>0</f>
        <v>0</v>
      </c>
      <c r="G9" s="24">
        <f>IF($A9="","",IFERROR(INDEX(Scherpenzeel!$A$107:$A$206,MATCH($A9,Scherpenzeel!$C$107:$C$206,0)),""))</f>
        <v>2</v>
      </c>
      <c r="H9" s="15">
        <f>IF($A9="",0,IFERROR(INDEX(Scherpenzeel!$I$107:$I$206,MATCH($A9,Scherpenzeel!$C$107:$C$206,0)),0))</f>
        <v>90</v>
      </c>
      <c r="I9" s="24" t="str">
        <f>IF($A9="","",IFERROR(INDEX('4'!$A$107:$A$206,MATCH($A9,'4'!$C$107:$C$206,0)),""))</f>
        <v/>
      </c>
      <c r="J9" s="15">
        <f>IF($A9="",0,IFERROR(INDEX('4'!$I$107:$I$206,MATCH($A9,'4'!$C$107:$C$206,0)),0))</f>
        <v>0</v>
      </c>
      <c r="K9" s="24" t="str">
        <f>IF($A9="","",IFERROR(INDEX('5'!$A$107:$A$206,MATCH($A9,'5'!$C$107:$C$206,0)),""))</f>
        <v/>
      </c>
      <c r="L9" s="15">
        <f>IF($A9="",0,IFERROR(INDEX('5'!$I$107:$I$206,MATCH($A9,'5'!$C$107:$C$206,0)),0))</f>
        <v>0</v>
      </c>
      <c r="M9" s="25">
        <f>IF($A9="","",D9+F9+H9+J9+L9)</f>
        <v>90</v>
      </c>
      <c r="N9" s="26">
        <f>IF(OR($A9="",M9="",M9=0),"",RANK(M9,$M$4:$M$203,0))</f>
        <v>5</v>
      </c>
      <c r="AA9" t="str">
        <f>Barneveld!C48</f>
        <v>Arjen Veldhuizen</v>
      </c>
      <c r="AB9">
        <f>IF(AA9="",0,IF(COUNTIF($AA$1:AA9,AA9)=1,1,0))</f>
        <v>1</v>
      </c>
      <c r="AC9">
        <f>IF(AB9=1,COUNTIF($AB$1:AB9,1),"")</f>
        <v>9</v>
      </c>
    </row>
    <row r="10" spans="1:29" x14ac:dyDescent="0.25">
      <c r="A10" s="13" t="str">
        <f>IFERROR(INDEX($AA$1:$AA$400,MATCH(3,$AC$1:$AC$400,0)),"")</f>
        <v>Dennis Hazelaar</v>
      </c>
      <c r="B10" s="13" t="str">
        <f>IF($A10="","",IF(IFERROR(INDEX(Barneveld!$E$40:$E$139,MATCH($A10,Barneveld!$C$40:$C$139,0)),"")&lt;&gt;"",IFERROR(INDEX(Barneveld!$E$40:$E$139,MATCH($A10,Barneveld!$C$40:$C$139,0)),""),IF(IFERROR(INDEX(Scherpenzeel!$F$107:$F$206,MATCH($A10,Scherpenzeel!$C$107:$C$206,0)),"")&lt;&gt;"",IFERROR(INDEX(Scherpenzeel!$F$107:$F$206,MATCH($A10,Scherpenzeel!$C$107:$C$206,0)),""),IF(IFERROR(INDEX('4'!$F$107:$F$206,MATCH($A10,'4'!$C$107:$C$206,0)),"")&lt;&gt;"",IFERROR(INDEX('4'!$F$107:$F$206,MATCH($A10,'4'!$C$107:$C$206,0)),""),IFERROR(INDEX('5'!$F$107:$F$206,MATCH($A10,'5'!$C$107:$C$206,0)),"")))))</f>
        <v/>
      </c>
      <c r="C10" s="24">
        <f>IF($A10="","",IFERROR(INDEX(Barneveld!$A$40:$A$139,MATCH($A10,Barneveld!$C$40:$C$139,0)),""))</f>
        <v>3</v>
      </c>
      <c r="D10" s="15">
        <f>IF($A10="",0,IFERROR(INDEX(Barneveld!$H$40:$H$139,MATCH($A10,Barneveld!$C$40:$C$139,0)),0))</f>
        <v>85</v>
      </c>
      <c r="E10" s="24" t="str">
        <f>""</f>
        <v/>
      </c>
      <c r="F10" s="15">
        <f>0</f>
        <v>0</v>
      </c>
      <c r="G10" s="24" t="str">
        <f>IF($A10="","",IFERROR(INDEX(Scherpenzeel!$A$107:$A$206,MATCH($A10,Scherpenzeel!$C$107:$C$206,0)),""))</f>
        <v/>
      </c>
      <c r="H10" s="15">
        <f>IF($A10="",0,IFERROR(INDEX(Scherpenzeel!$I$107:$I$206,MATCH($A10,Scherpenzeel!$C$107:$C$206,0)),0))</f>
        <v>0</v>
      </c>
      <c r="I10" s="24" t="str">
        <f>IF($A10="","",IFERROR(INDEX('4'!$A$107:$A$206,MATCH($A10,'4'!$C$107:$C$206,0)),""))</f>
        <v/>
      </c>
      <c r="J10" s="15">
        <f>IF($A10="",0,IFERROR(INDEX('4'!$I$107:$I$206,MATCH($A10,'4'!$C$107:$C$206,0)),0))</f>
        <v>0</v>
      </c>
      <c r="K10" s="24" t="str">
        <f>IF($A10="","",IFERROR(INDEX('5'!$A$107:$A$206,MATCH($A10,'5'!$C$107:$C$206,0)),""))</f>
        <v/>
      </c>
      <c r="L10" s="15">
        <f>IF($A10="",0,IFERROR(INDEX('5'!$I$107:$I$206,MATCH($A10,'5'!$C$107:$C$206,0)),0))</f>
        <v>0</v>
      </c>
      <c r="M10" s="25">
        <f>IF($A10="","",D10+F10+H10+J10+L10)</f>
        <v>85</v>
      </c>
      <c r="N10" s="26">
        <f>IF(OR($A10="",M10="",M10=0),"",RANK(M10,$M$4:$M$203,0))</f>
        <v>7</v>
      </c>
      <c r="AA10" t="str">
        <f>Barneveld!C49</f>
        <v>Gerjan Olsder</v>
      </c>
      <c r="AB10">
        <f>IF(AA10="",0,IF(COUNTIF($AA$1:AA10,AA10)=1,1,0))</f>
        <v>1</v>
      </c>
      <c r="AC10">
        <f>IF(AB10=1,COUNTIF($AB$1:AB10,1),"")</f>
        <v>10</v>
      </c>
    </row>
    <row r="11" spans="1:29" x14ac:dyDescent="0.25">
      <c r="A11" s="13" t="str">
        <f>IFERROR(INDEX($AA$1:$AA$400,MATCH(4,$AC$1:$AC$400,0)),"")</f>
        <v>Frank Weijers</v>
      </c>
      <c r="B11" s="13" t="str">
        <f>IF($A11="","",IF(IFERROR(INDEX(Barneveld!$E$40:$E$139,MATCH($A11,Barneveld!$C$40:$C$139,0)),"")&lt;&gt;"",IFERROR(INDEX(Barneveld!$E$40:$E$139,MATCH($A11,Barneveld!$C$40:$C$139,0)),""),IF(IFERROR(INDEX(Scherpenzeel!$F$107:$F$206,MATCH($A11,Scherpenzeel!$C$107:$C$206,0)),"")&lt;&gt;"",IFERROR(INDEX(Scherpenzeel!$F$107:$F$206,MATCH($A11,Scherpenzeel!$C$107:$C$206,0)),""),IF(IFERROR(INDEX('4'!$F$107:$F$206,MATCH($A11,'4'!$C$107:$C$206,0)),"")&lt;&gt;"",IFERROR(INDEX('4'!$F$107:$F$206,MATCH($A11,'4'!$C$107:$C$206,0)),""),IFERROR(INDEX('5'!$F$107:$F$206,MATCH($A11,'5'!$C$107:$C$206,0)),"")))))</f>
        <v/>
      </c>
      <c r="C11" s="24">
        <f>IF($A11="","",IFERROR(INDEX(Barneveld!$A$40:$A$139,MATCH($A11,Barneveld!$C$40:$C$139,0)),""))</f>
        <v>4</v>
      </c>
      <c r="D11" s="15">
        <f>IF($A11="",0,IFERROR(INDEX(Barneveld!$H$40:$H$139,MATCH($A11,Barneveld!$C$40:$C$139,0)),0))</f>
        <v>80</v>
      </c>
      <c r="E11" s="24" t="str">
        <f>""</f>
        <v/>
      </c>
      <c r="F11" s="15">
        <f>0</f>
        <v>0</v>
      </c>
      <c r="G11" s="24" t="str">
        <f>IF($A11="","",IFERROR(INDEX(Scherpenzeel!$A$107:$A$206,MATCH($A11,Scherpenzeel!$C$107:$C$206,0)),""))</f>
        <v/>
      </c>
      <c r="H11" s="15">
        <f>IF($A11="",0,IFERROR(INDEX(Scherpenzeel!$I$107:$I$206,MATCH($A11,Scherpenzeel!$C$107:$C$206,0)),0))</f>
        <v>0</v>
      </c>
      <c r="I11" s="24" t="str">
        <f>IF($A11="","",IFERROR(INDEX('4'!$A$107:$A$206,MATCH($A11,'4'!$C$107:$C$206,0)),""))</f>
        <v/>
      </c>
      <c r="J11" s="15">
        <f>IF($A11="",0,IFERROR(INDEX('4'!$I$107:$I$206,MATCH($A11,'4'!$C$107:$C$206,0)),0))</f>
        <v>0</v>
      </c>
      <c r="K11" s="24" t="str">
        <f>IF($A11="","",IFERROR(INDEX('5'!$A$107:$A$206,MATCH($A11,'5'!$C$107:$C$206,0)),""))</f>
        <v/>
      </c>
      <c r="L11" s="15">
        <f>IF($A11="",0,IFERROR(INDEX('5'!$I$107:$I$206,MATCH($A11,'5'!$C$107:$C$206,0)),0))</f>
        <v>0</v>
      </c>
      <c r="M11" s="25">
        <f>IF($A11="","",D11+F11+H11+J11+L11)</f>
        <v>80</v>
      </c>
      <c r="N11" s="26">
        <f>IF(OR($A11="",M11="",M11=0),"",RANK(M11,$M$4:$M$203,0))</f>
        <v>8</v>
      </c>
      <c r="AA11" t="str">
        <f>Barneveld!C50</f>
        <v>David Noordhoek</v>
      </c>
      <c r="AB11">
        <f>IF(AA11="",0,IF(COUNTIF($AA$1:AA11,AA11)=1,1,0))</f>
        <v>1</v>
      </c>
      <c r="AC11">
        <f>IF(AB11=1,COUNTIF($AB$1:AB11,1),"")</f>
        <v>11</v>
      </c>
    </row>
    <row r="12" spans="1:29" x14ac:dyDescent="0.25">
      <c r="A12" s="13" t="str">
        <f>IFERROR(INDEX($AA$1:$AA$400,MATCH(33,$AC$1:$AC$400,0)),"")</f>
        <v>Spiek Oord</v>
      </c>
      <c r="B12" s="13" t="str">
        <f>IF($A12="","",IF(IFERROR(INDEX(Barneveld!$E$40:$E$139,MATCH($A12,Barneveld!$C$40:$C$139,0)),"")&lt;&gt;"",IFERROR(INDEX(Barneveld!$E$40:$E$139,MATCH($A12,Barneveld!$C$40:$C$139,0)),""),IF(IFERROR(INDEX(Scherpenzeel!$F$107:$F$206,MATCH($A12,Scherpenzeel!$C$107:$C$206,0)),"")&lt;&gt;"",IFERROR(INDEX(Scherpenzeel!$F$107:$F$206,MATCH($A12,Scherpenzeel!$C$107:$C$206,0)),""),IF(IFERROR(INDEX('4'!$F$107:$F$206,MATCH($A12,'4'!$C$107:$C$206,0)),"")&lt;&gt;"",IFERROR(INDEX('4'!$F$107:$F$206,MATCH($A12,'4'!$C$107:$C$206,0)),""),IFERROR(INDEX('5'!$F$107:$F$206,MATCH($A12,'5'!$C$107:$C$206,0)),"")))))</f>
        <v>USWV De Domrenner</v>
      </c>
      <c r="C12" s="24" t="str">
        <f>IF($A12="","",IFERROR(INDEX(Barneveld!$A$40:$A$139,MATCH($A12,Barneveld!$C$40:$C$139,0)),""))</f>
        <v/>
      </c>
      <c r="D12" s="15">
        <f>IF($A12="",0,IFERROR(INDEX(Barneveld!$H$40:$H$139,MATCH($A12,Barneveld!$C$40:$C$139,0)),0))</f>
        <v>0</v>
      </c>
      <c r="E12" s="24" t="str">
        <f>""</f>
        <v/>
      </c>
      <c r="F12" s="15">
        <f>0</f>
        <v>0</v>
      </c>
      <c r="G12" s="24">
        <f>IF($A12="","",IFERROR(INDEX(Scherpenzeel!$A$107:$A$206,MATCH($A12,Scherpenzeel!$C$107:$C$206,0)),""))</f>
        <v>4</v>
      </c>
      <c r="H12" s="15">
        <f>IF($A12="",0,IFERROR(INDEX(Scherpenzeel!$I$107:$I$206,MATCH($A12,Scherpenzeel!$C$107:$C$206,0)),0))</f>
        <v>80</v>
      </c>
      <c r="I12" s="24" t="str">
        <f>IF($A12="","",IFERROR(INDEX('4'!$A$107:$A$206,MATCH($A12,'4'!$C$107:$C$206,0)),""))</f>
        <v/>
      </c>
      <c r="J12" s="15">
        <f>IF($A12="",0,IFERROR(INDEX('4'!$I$107:$I$206,MATCH($A12,'4'!$C$107:$C$206,0)),0))</f>
        <v>0</v>
      </c>
      <c r="K12" s="24" t="str">
        <f>IF($A12="","",IFERROR(INDEX('5'!$A$107:$A$206,MATCH($A12,'5'!$C$107:$C$206,0)),""))</f>
        <v/>
      </c>
      <c r="L12" s="15">
        <f>IF($A12="",0,IFERROR(INDEX('5'!$I$107:$I$206,MATCH($A12,'5'!$C$107:$C$206,0)),0))</f>
        <v>0</v>
      </c>
      <c r="M12" s="25">
        <f>IF($A12="","",D12+F12+H12+J12+L12)</f>
        <v>80</v>
      </c>
      <c r="N12" s="26">
        <f>IF(OR($A12="",M12="",M12=0),"",RANK(M12,$M$4:$M$203,0))</f>
        <v>8</v>
      </c>
      <c r="AA12" t="str">
        <f>Barneveld!C51</f>
        <v>Brian Linde</v>
      </c>
      <c r="AB12">
        <f>IF(AA12="",0,IF(COUNTIF($AA$1:AA12,AA12)=1,1,0))</f>
        <v>1</v>
      </c>
      <c r="AC12">
        <f>IF(AB12=1,COUNTIF($AB$1:AB12,1),"")</f>
        <v>12</v>
      </c>
    </row>
    <row r="13" spans="1:29" x14ac:dyDescent="0.25">
      <c r="A13" s="13" t="str">
        <f>IFERROR(INDEX($AA$1:$AA$400,MATCH(18,$AC$1:$AC$400,0)),"")</f>
        <v>Jamon van Veldhuizen</v>
      </c>
      <c r="B13" s="13" t="str">
        <f>IF($A13="","",IF(IFERROR(INDEX(Barneveld!$E$40:$E$139,MATCH($A13,Barneveld!$C$40:$C$139,0)),"")&lt;&gt;"",IFERROR(INDEX(Barneveld!$E$40:$E$139,MATCH($A13,Barneveld!$C$40:$C$139,0)),""),IF(IFERROR(INDEX(Scherpenzeel!$F$107:$F$206,MATCH($A13,Scherpenzeel!$C$107:$C$206,0)),"")&lt;&gt;"",IFERROR(INDEX(Scherpenzeel!$F$107:$F$206,MATCH($A13,Scherpenzeel!$C$107:$C$206,0)),""),IF(IFERROR(INDEX('4'!$F$107:$F$206,MATCH($A13,'4'!$C$107:$C$206,0)),"")&lt;&gt;"",IFERROR(INDEX('4'!$F$107:$F$206,MATCH($A13,'4'!$C$107:$C$206,0)),""),IFERROR(INDEX('5'!$F$107:$F$206,MATCH($A13,'5'!$C$107:$C$206,0)),"")))))</f>
        <v/>
      </c>
      <c r="C13" s="24">
        <f>IF($A13="","",IFERROR(INDEX(Barneveld!$A$40:$A$139,MATCH($A13,Barneveld!$C$40:$C$139,0)),""))</f>
        <v>18</v>
      </c>
      <c r="D13" s="15">
        <f>IF($A13="",0,IFERROR(INDEX(Barneveld!$H$40:$H$139,MATCH($A13,Barneveld!$C$40:$C$139,0)),0))</f>
        <v>29</v>
      </c>
      <c r="E13" s="24" t="str">
        <f>""</f>
        <v/>
      </c>
      <c r="F13" s="15">
        <f>0</f>
        <v>0</v>
      </c>
      <c r="G13" s="24">
        <f>IF($A13="","",IFERROR(INDEX(Scherpenzeel!$A$107:$A$206,MATCH($A13,Scherpenzeel!$C$107:$C$206,0)),""))</f>
        <v>12</v>
      </c>
      <c r="H13" s="15">
        <f>IF($A13="",0,IFERROR(INDEX(Scherpenzeel!$I$107:$I$206,MATCH($A13,Scherpenzeel!$C$107:$C$206,0)),0))</f>
        <v>47</v>
      </c>
      <c r="I13" s="24" t="str">
        <f>IF($A13="","",IFERROR(INDEX('4'!$A$107:$A$206,MATCH($A13,'4'!$C$107:$C$206,0)),""))</f>
        <v/>
      </c>
      <c r="J13" s="15">
        <f>IF($A13="",0,IFERROR(INDEX('4'!$I$107:$I$206,MATCH($A13,'4'!$C$107:$C$206,0)),0))</f>
        <v>0</v>
      </c>
      <c r="K13" s="24" t="str">
        <f>IF($A13="","",IFERROR(INDEX('5'!$A$107:$A$206,MATCH($A13,'5'!$C$107:$C$206,0)),""))</f>
        <v/>
      </c>
      <c r="L13" s="15">
        <f>IF($A13="",0,IFERROR(INDEX('5'!$I$107:$I$206,MATCH($A13,'5'!$C$107:$C$206,0)),0))</f>
        <v>0</v>
      </c>
      <c r="M13" s="25">
        <f>IF($A13="","",D13+F13+H13+J13+L13)</f>
        <v>76</v>
      </c>
      <c r="N13" s="26">
        <f>IF(OR($A13="",M13="",M13=0),"",RANK(M13,$M$4:$M$203,0))</f>
        <v>10</v>
      </c>
      <c r="AA13" t="str">
        <f>Barneveld!C52</f>
        <v>Thomas van der Wardt</v>
      </c>
      <c r="AB13">
        <f>IF(AA13="",0,IF(COUNTIF($AA$1:AA13,AA13)=1,1,0))</f>
        <v>1</v>
      </c>
      <c r="AC13">
        <f>IF(AB13=1,COUNTIF($AB$1:AB13,1),"")</f>
        <v>13</v>
      </c>
    </row>
    <row r="14" spans="1:29" x14ac:dyDescent="0.25">
      <c r="A14" s="13" t="str">
        <f>IFERROR(INDEX($AA$1:$AA$400,MATCH(6,$AC$1:$AC$400,0)),"")</f>
        <v>Maarten Pereboom</v>
      </c>
      <c r="B14" s="13" t="str">
        <f>IF($A14="","",IF(IFERROR(INDEX(Barneveld!$E$40:$E$139,MATCH($A14,Barneveld!$C$40:$C$139,0)),"")&lt;&gt;"",IFERROR(INDEX(Barneveld!$E$40:$E$139,MATCH($A14,Barneveld!$C$40:$C$139,0)),""),IF(IFERROR(INDEX(Scherpenzeel!$F$107:$F$206,MATCH($A14,Scherpenzeel!$C$107:$C$206,0)),"")&lt;&gt;"",IFERROR(INDEX(Scherpenzeel!$F$107:$F$206,MATCH($A14,Scherpenzeel!$C$107:$C$206,0)),""),IF(IFERROR(INDEX('4'!$F$107:$F$206,MATCH($A14,'4'!$C$107:$C$206,0)),"")&lt;&gt;"",IFERROR(INDEX('4'!$F$107:$F$206,MATCH($A14,'4'!$C$107:$C$206,0)),""),IFERROR(INDEX('5'!$F$107:$F$206,MATCH($A14,'5'!$C$107:$C$206,0)),"")))))</f>
        <v/>
      </c>
      <c r="C14" s="24">
        <f>IF($A14="","",IFERROR(INDEX(Barneveld!$A$40:$A$139,MATCH($A14,Barneveld!$C$40:$C$139,0)),""))</f>
        <v>6</v>
      </c>
      <c r="D14" s="15">
        <f>IF($A14="",0,IFERROR(INDEX(Barneveld!$H$40:$H$139,MATCH($A14,Barneveld!$C$40:$C$139,0)),0))</f>
        <v>70</v>
      </c>
      <c r="E14" s="24" t="str">
        <f>""</f>
        <v/>
      </c>
      <c r="F14" s="15">
        <f>0</f>
        <v>0</v>
      </c>
      <c r="G14" s="24" t="str">
        <f>IF($A14="","",IFERROR(INDEX(Scherpenzeel!$A$107:$A$206,MATCH($A14,Scherpenzeel!$C$107:$C$206,0)),""))</f>
        <v/>
      </c>
      <c r="H14" s="15">
        <f>IF($A14="",0,IFERROR(INDEX(Scherpenzeel!$I$107:$I$206,MATCH($A14,Scherpenzeel!$C$107:$C$206,0)),0))</f>
        <v>0</v>
      </c>
      <c r="I14" s="24" t="str">
        <f>IF($A14="","",IFERROR(INDEX('4'!$A$107:$A$206,MATCH($A14,'4'!$C$107:$C$206,0)),""))</f>
        <v/>
      </c>
      <c r="J14" s="15">
        <f>IF($A14="",0,IFERROR(INDEX('4'!$I$107:$I$206,MATCH($A14,'4'!$C$107:$C$206,0)),0))</f>
        <v>0</v>
      </c>
      <c r="K14" s="24" t="str">
        <f>IF($A14="","",IFERROR(INDEX('5'!$A$107:$A$206,MATCH($A14,'5'!$C$107:$C$206,0)),""))</f>
        <v/>
      </c>
      <c r="L14" s="15">
        <f>IF($A14="",0,IFERROR(INDEX('5'!$I$107:$I$206,MATCH($A14,'5'!$C$107:$C$206,0)),0))</f>
        <v>0</v>
      </c>
      <c r="M14" s="25">
        <f>IF($A14="","",D14+F14+H14+J14+L14)</f>
        <v>70</v>
      </c>
      <c r="N14" s="26">
        <f>IF(OR($A14="",M14="",M14=0),"",RANK(M14,$M$4:$M$203,0))</f>
        <v>11</v>
      </c>
      <c r="AA14" t="str">
        <f>Barneveld!C53</f>
        <v>Kian Fidder</v>
      </c>
      <c r="AB14">
        <f>IF(AA14="",0,IF(COUNTIF($AA$1:AA14,AA14)=1,1,0))</f>
        <v>1</v>
      </c>
      <c r="AC14">
        <f>IF(AB14=1,COUNTIF($AB$1:AB14,1),"")</f>
        <v>14</v>
      </c>
    </row>
    <row r="15" spans="1:29" x14ac:dyDescent="0.25">
      <c r="A15" s="13" t="str">
        <f>IFERROR(INDEX($AA$1:$AA$400,MATCH(34,$AC$1:$AC$400,0)),"")</f>
        <v>Jacob Meijer</v>
      </c>
      <c r="B15" s="13" t="str">
        <f>IF($A15="","",IF(IFERROR(INDEX(Barneveld!$E$40:$E$139,MATCH($A15,Barneveld!$C$40:$C$139,0)),"")&lt;&gt;"",IFERROR(INDEX(Barneveld!$E$40:$E$139,MATCH($A15,Barneveld!$C$40:$C$139,0)),""),IF(IFERROR(INDEX(Scherpenzeel!$F$107:$F$206,MATCH($A15,Scherpenzeel!$C$107:$C$206,0)),"")&lt;&gt;"",IFERROR(INDEX(Scherpenzeel!$F$107:$F$206,MATCH($A15,Scherpenzeel!$C$107:$C$206,0)),""),IF(IFERROR(INDEX('4'!$F$107:$F$206,MATCH($A15,'4'!$C$107:$C$206,0)),"")&lt;&gt;"",IFERROR(INDEX('4'!$F$107:$F$206,MATCH($A15,'4'!$C$107:$C$206,0)),""),IFERROR(INDEX('5'!$F$107:$F$206,MATCH($A15,'5'!$C$107:$C$206,0)),"")))))</f>
        <v/>
      </c>
      <c r="C15" s="24" t="str">
        <f>IF($A15="","",IFERROR(INDEX(Barneveld!$A$40:$A$139,MATCH($A15,Barneveld!$C$40:$C$139,0)),""))</f>
        <v/>
      </c>
      <c r="D15" s="15">
        <f>IF($A15="",0,IFERROR(INDEX(Barneveld!$H$40:$H$139,MATCH($A15,Barneveld!$C$40:$C$139,0)),0))</f>
        <v>0</v>
      </c>
      <c r="E15" s="24" t="str">
        <f>""</f>
        <v/>
      </c>
      <c r="F15" s="15">
        <f>0</f>
        <v>0</v>
      </c>
      <c r="G15" s="24">
        <f>IF($A15="","",IFERROR(INDEX(Scherpenzeel!$A$107:$A$206,MATCH($A15,Scherpenzeel!$C$107:$C$206,0)),""))</f>
        <v>6</v>
      </c>
      <c r="H15" s="15">
        <f>IF($A15="",0,IFERROR(INDEX(Scherpenzeel!$I$107:$I$206,MATCH($A15,Scherpenzeel!$C$107:$C$206,0)),0))</f>
        <v>70</v>
      </c>
      <c r="I15" s="24" t="str">
        <f>IF($A15="","",IFERROR(INDEX('4'!$A$107:$A$206,MATCH($A15,'4'!$C$107:$C$206,0)),""))</f>
        <v/>
      </c>
      <c r="J15" s="15">
        <f>IF($A15="",0,IFERROR(INDEX('4'!$I$107:$I$206,MATCH($A15,'4'!$C$107:$C$206,0)),0))</f>
        <v>0</v>
      </c>
      <c r="K15" s="24" t="str">
        <f>IF($A15="","",IFERROR(INDEX('5'!$A$107:$A$206,MATCH($A15,'5'!$C$107:$C$206,0)),""))</f>
        <v/>
      </c>
      <c r="L15" s="15">
        <f>IF($A15="",0,IFERROR(INDEX('5'!$I$107:$I$206,MATCH($A15,'5'!$C$107:$C$206,0)),0))</f>
        <v>0</v>
      </c>
      <c r="M15" s="25">
        <f>IF($A15="","",D15+F15+H15+J15+L15)</f>
        <v>70</v>
      </c>
      <c r="N15" s="26">
        <f>IF(OR($A15="",M15="",M15=0),"",RANK(M15,$M$4:$M$203,0))</f>
        <v>11</v>
      </c>
      <c r="AA15" t="str">
        <f>Barneveld!C54</f>
        <v>Andre van der Poel</v>
      </c>
      <c r="AB15">
        <f>IF(AA15="",0,IF(COUNTIF($AA$1:AA15,AA15)=1,1,0))</f>
        <v>1</v>
      </c>
      <c r="AC15">
        <f>IF(AB15=1,COUNTIF($AB$1:AB15,1),"")</f>
        <v>15</v>
      </c>
    </row>
    <row r="16" spans="1:29" x14ac:dyDescent="0.25">
      <c r="A16" s="13" t="str">
        <f>IFERROR(INDEX($AA$1:$AA$400,MATCH(17,$AC$1:$AC$400,0)),"")</f>
        <v>Remco van Dijk</v>
      </c>
      <c r="B16" s="13" t="str">
        <f>IF($A16="","",IF(IFERROR(INDEX(Barneveld!$E$40:$E$139,MATCH($A16,Barneveld!$C$40:$C$139,0)),"")&lt;&gt;"",IFERROR(INDEX(Barneveld!$E$40:$E$139,MATCH($A16,Barneveld!$C$40:$C$139,0)),""),IF(IFERROR(INDEX(Scherpenzeel!$F$107:$F$206,MATCH($A16,Scherpenzeel!$C$107:$C$206,0)),"")&lt;&gt;"",IFERROR(INDEX(Scherpenzeel!$F$107:$F$206,MATCH($A16,Scherpenzeel!$C$107:$C$206,0)),""),IF(IFERROR(INDEX('4'!$F$107:$F$206,MATCH($A16,'4'!$C$107:$C$206,0)),"")&lt;&gt;"",IFERROR(INDEX('4'!$F$107:$F$206,MATCH($A16,'4'!$C$107:$C$206,0)),""),IFERROR(INDEX('5'!$F$107:$F$206,MATCH($A16,'5'!$C$107:$C$206,0)),"")))))</f>
        <v/>
      </c>
      <c r="C16" s="24">
        <f>IF($A16="","",IFERROR(INDEX(Barneveld!$A$40:$A$139,MATCH($A16,Barneveld!$C$40:$C$139,0)),""))</f>
        <v>17</v>
      </c>
      <c r="D16" s="15">
        <f>IF($A16="",0,IFERROR(INDEX(Barneveld!$H$40:$H$139,MATCH($A16,Barneveld!$C$40:$C$139,0)),0))</f>
        <v>32</v>
      </c>
      <c r="E16" s="24" t="str">
        <f>""</f>
        <v/>
      </c>
      <c r="F16" s="15">
        <f>0</f>
        <v>0</v>
      </c>
      <c r="G16" s="24">
        <f>IF($A16="","",IFERROR(INDEX(Scherpenzeel!$A$107:$A$206,MATCH($A16,Scherpenzeel!$C$107:$C$206,0)),""))</f>
        <v>16</v>
      </c>
      <c r="H16" s="15">
        <f>IF($A16="",0,IFERROR(INDEX(Scherpenzeel!$I$107:$I$206,MATCH($A16,Scherpenzeel!$C$107:$C$206,0)),0))</f>
        <v>35</v>
      </c>
      <c r="I16" s="24" t="str">
        <f>IF($A16="","",IFERROR(INDEX('4'!$A$107:$A$206,MATCH($A16,'4'!$C$107:$C$206,0)),""))</f>
        <v/>
      </c>
      <c r="J16" s="15">
        <f>IF($A16="",0,IFERROR(INDEX('4'!$I$107:$I$206,MATCH($A16,'4'!$C$107:$C$206,0)),0))</f>
        <v>0</v>
      </c>
      <c r="K16" s="24" t="str">
        <f>IF($A16="","",IFERROR(INDEX('5'!$A$107:$A$206,MATCH($A16,'5'!$C$107:$C$206,0)),""))</f>
        <v/>
      </c>
      <c r="L16" s="15">
        <f>IF($A16="",0,IFERROR(INDEX('5'!$I$107:$I$206,MATCH($A16,'5'!$C$107:$C$206,0)),0))</f>
        <v>0</v>
      </c>
      <c r="M16" s="25">
        <f>IF($A16="","",D16+F16+H16+J16+L16)</f>
        <v>67</v>
      </c>
      <c r="N16" s="26">
        <f>IF(OR($A16="",M16="",M16=0),"",RANK(M16,$M$4:$M$203,0))</f>
        <v>13</v>
      </c>
      <c r="AA16" t="str">
        <f>Barneveld!C55</f>
        <v>Hans van Brakel</v>
      </c>
      <c r="AB16">
        <f>IF(AA16="",0,IF(COUNTIF($AA$1:AA16,AA16)=1,1,0))</f>
        <v>1</v>
      </c>
      <c r="AC16">
        <f>IF(AB16=1,COUNTIF($AB$1:AB16,1),"")</f>
        <v>16</v>
      </c>
    </row>
    <row r="17" spans="1:29" x14ac:dyDescent="0.25">
      <c r="A17" s="13" t="str">
        <f>IFERROR(INDEX($AA$1:$AA$400,MATCH(7,$AC$1:$AC$400,0)),"")</f>
        <v>Jaap Mekenkamp</v>
      </c>
      <c r="B17" s="13" t="str">
        <f>IF($A17="","",IF(IFERROR(INDEX(Barneveld!$E$40:$E$139,MATCH($A17,Barneveld!$C$40:$C$139,0)),"")&lt;&gt;"",IFERROR(INDEX(Barneveld!$E$40:$E$139,MATCH($A17,Barneveld!$C$40:$C$139,0)),""),IF(IFERROR(INDEX(Scherpenzeel!$F$107:$F$206,MATCH($A17,Scherpenzeel!$C$107:$C$206,0)),"")&lt;&gt;"",IFERROR(INDEX(Scherpenzeel!$F$107:$F$206,MATCH($A17,Scherpenzeel!$C$107:$C$206,0)),""),IF(IFERROR(INDEX('4'!$F$107:$F$206,MATCH($A17,'4'!$C$107:$C$206,0)),"")&lt;&gt;"",IFERROR(INDEX('4'!$F$107:$F$206,MATCH($A17,'4'!$C$107:$C$206,0)),""),IFERROR(INDEX('5'!$F$107:$F$206,MATCH($A17,'5'!$C$107:$C$206,0)),"")))))</f>
        <v/>
      </c>
      <c r="C17" s="24">
        <f>IF($A17="","",IFERROR(INDEX(Barneveld!$A$40:$A$139,MATCH($A17,Barneveld!$C$40:$C$139,0)),""))</f>
        <v>7</v>
      </c>
      <c r="D17" s="15">
        <f>IF($A17="",0,IFERROR(INDEX(Barneveld!$H$40:$H$139,MATCH($A17,Barneveld!$C$40:$C$139,0)),0))</f>
        <v>66</v>
      </c>
      <c r="E17" s="24" t="str">
        <f>""</f>
        <v/>
      </c>
      <c r="F17" s="15">
        <f>0</f>
        <v>0</v>
      </c>
      <c r="G17" s="24" t="str">
        <f>IF($A17="","",IFERROR(INDEX(Scherpenzeel!$A$107:$A$206,MATCH($A17,Scherpenzeel!$C$107:$C$206,0)),""))</f>
        <v/>
      </c>
      <c r="H17" s="15">
        <f>IF($A17="",0,IFERROR(INDEX(Scherpenzeel!$I$107:$I$206,MATCH($A17,Scherpenzeel!$C$107:$C$206,0)),0))</f>
        <v>0</v>
      </c>
      <c r="I17" s="24" t="str">
        <f>IF($A17="","",IFERROR(INDEX('4'!$A$107:$A$206,MATCH($A17,'4'!$C$107:$C$206,0)),""))</f>
        <v/>
      </c>
      <c r="J17" s="15">
        <f>IF($A17="",0,IFERROR(INDEX('4'!$I$107:$I$206,MATCH($A17,'4'!$C$107:$C$206,0)),0))</f>
        <v>0</v>
      </c>
      <c r="K17" s="24" t="str">
        <f>IF($A17="","",IFERROR(INDEX('5'!$A$107:$A$206,MATCH($A17,'5'!$C$107:$C$206,0)),""))</f>
        <v/>
      </c>
      <c r="L17" s="15">
        <f>IF($A17="",0,IFERROR(INDEX('5'!$I$107:$I$206,MATCH($A17,'5'!$C$107:$C$206,0)),0))</f>
        <v>0</v>
      </c>
      <c r="M17" s="25">
        <f>IF($A17="","",D17+F17+H17+J17+L17)</f>
        <v>66</v>
      </c>
      <c r="N17" s="26">
        <f>IF(OR($A17="",M17="",M17=0),"",RANK(M17,$M$4:$M$203,0))</f>
        <v>14</v>
      </c>
      <c r="AA17" t="str">
        <f>Barneveld!C56</f>
        <v>Remco van Dijk</v>
      </c>
      <c r="AB17">
        <f>IF(AA17="",0,IF(COUNTIF($AA$1:AA17,AA17)=1,1,0))</f>
        <v>1</v>
      </c>
      <c r="AC17">
        <f>IF(AB17=1,COUNTIF($AB$1:AB17,1),"")</f>
        <v>17</v>
      </c>
    </row>
    <row r="18" spans="1:29" x14ac:dyDescent="0.25">
      <c r="A18" s="13" t="str">
        <f>IFERROR(INDEX($AA$1:$AA$400,MATCH(35,$AC$1:$AC$400,0)),"")</f>
        <v>Eibert van 't Hof</v>
      </c>
      <c r="B18" s="13" t="str">
        <f>IF($A18="","",IF(IFERROR(INDEX(Barneveld!$E$40:$E$139,MATCH($A18,Barneveld!$C$40:$C$139,0)),"")&lt;&gt;"",IFERROR(INDEX(Barneveld!$E$40:$E$139,MATCH($A18,Barneveld!$C$40:$C$139,0)),""),IF(IFERROR(INDEX(Scherpenzeel!$F$107:$F$206,MATCH($A18,Scherpenzeel!$C$107:$C$206,0)),"")&lt;&gt;"",IFERROR(INDEX(Scherpenzeel!$F$107:$F$206,MATCH($A18,Scherpenzeel!$C$107:$C$206,0)),""),IF(IFERROR(INDEX('4'!$F$107:$F$206,MATCH($A18,'4'!$C$107:$C$206,0)),"")&lt;&gt;"",IFERROR(INDEX('4'!$F$107:$F$206,MATCH($A18,'4'!$C$107:$C$206,0)),""),IFERROR(INDEX('5'!$F$107:$F$206,MATCH($A18,'5'!$C$107:$C$206,0)),"")))))</f>
        <v>RWV de Spartaan</v>
      </c>
      <c r="C18" s="24" t="str">
        <f>IF($A18="","",IFERROR(INDEX(Barneveld!$A$40:$A$139,MATCH($A18,Barneveld!$C$40:$C$139,0)),""))</f>
        <v/>
      </c>
      <c r="D18" s="15">
        <f>IF($A18="",0,IFERROR(INDEX(Barneveld!$H$40:$H$139,MATCH($A18,Barneveld!$C$40:$C$139,0)),0))</f>
        <v>0</v>
      </c>
      <c r="E18" s="24" t="str">
        <f>""</f>
        <v/>
      </c>
      <c r="F18" s="15">
        <f>0</f>
        <v>0</v>
      </c>
      <c r="G18" s="24">
        <f>IF($A18="","",IFERROR(INDEX(Scherpenzeel!$A$107:$A$206,MATCH($A18,Scherpenzeel!$C$107:$C$206,0)),""))</f>
        <v>7</v>
      </c>
      <c r="H18" s="15">
        <f>IF($A18="",0,IFERROR(INDEX(Scherpenzeel!$I$107:$I$206,MATCH($A18,Scherpenzeel!$C$107:$C$206,0)),0))</f>
        <v>66</v>
      </c>
      <c r="I18" s="24" t="str">
        <f>IF($A18="","",IFERROR(INDEX('4'!$A$107:$A$206,MATCH($A18,'4'!$C$107:$C$206,0)),""))</f>
        <v/>
      </c>
      <c r="J18" s="15">
        <f>IF($A18="",0,IFERROR(INDEX('4'!$I$107:$I$206,MATCH($A18,'4'!$C$107:$C$206,0)),0))</f>
        <v>0</v>
      </c>
      <c r="K18" s="24" t="str">
        <f>IF($A18="","",IFERROR(INDEX('5'!$A$107:$A$206,MATCH($A18,'5'!$C$107:$C$206,0)),""))</f>
        <v/>
      </c>
      <c r="L18" s="15">
        <f>IF($A18="",0,IFERROR(INDEX('5'!$I$107:$I$206,MATCH($A18,'5'!$C$107:$C$206,0)),0))</f>
        <v>0</v>
      </c>
      <c r="M18" s="25">
        <f>IF($A18="","",D18+F18+H18+J18+L18)</f>
        <v>66</v>
      </c>
      <c r="N18" s="26">
        <f>IF(OR($A18="",M18="",M18=0),"",RANK(M18,$M$4:$M$203,0))</f>
        <v>14</v>
      </c>
      <c r="AA18" t="str">
        <f>Barneveld!C57</f>
        <v>Jamon van Veldhuizen</v>
      </c>
      <c r="AB18">
        <f>IF(AA18="",0,IF(COUNTIF($AA$1:AA18,AA18)=1,1,0))</f>
        <v>1</v>
      </c>
      <c r="AC18">
        <f>IF(AB18=1,COUNTIF($AB$1:AB18,1),"")</f>
        <v>18</v>
      </c>
    </row>
    <row r="19" spans="1:29" x14ac:dyDescent="0.25">
      <c r="A19" s="13" t="str">
        <f>IFERROR(INDEX($AA$1:$AA$400,MATCH(8,$AC$1:$AC$400,0)),"")</f>
        <v>Robert Post</v>
      </c>
      <c r="B19" s="13" t="str">
        <f>IF($A19="","",IF(IFERROR(INDEX(Barneveld!$E$40:$E$139,MATCH($A19,Barneveld!$C$40:$C$139,0)),"")&lt;&gt;"",IFERROR(INDEX(Barneveld!$E$40:$E$139,MATCH($A19,Barneveld!$C$40:$C$139,0)),""),IF(IFERROR(INDEX(Scherpenzeel!$F$107:$F$206,MATCH($A19,Scherpenzeel!$C$107:$C$206,0)),"")&lt;&gt;"",IFERROR(INDEX(Scherpenzeel!$F$107:$F$206,MATCH($A19,Scherpenzeel!$C$107:$C$206,0)),""),IF(IFERROR(INDEX('4'!$F$107:$F$206,MATCH($A19,'4'!$C$107:$C$206,0)),"")&lt;&gt;"",IFERROR(INDEX('4'!$F$107:$F$206,MATCH($A19,'4'!$C$107:$C$206,0)),""),IFERROR(INDEX('5'!$F$107:$F$206,MATCH($A19,'5'!$C$107:$C$206,0)),"")))))</f>
        <v/>
      </c>
      <c r="C19" s="24">
        <f>IF($A19="","",IFERROR(INDEX(Barneveld!$A$40:$A$139,MATCH($A19,Barneveld!$C$40:$C$139,0)),""))</f>
        <v>8</v>
      </c>
      <c r="D19" s="15">
        <f>IF($A19="",0,IFERROR(INDEX(Barneveld!$H$40:$H$139,MATCH($A19,Barneveld!$C$40:$C$139,0)),0))</f>
        <v>62</v>
      </c>
      <c r="E19" s="24" t="str">
        <f>""</f>
        <v/>
      </c>
      <c r="F19" s="15">
        <f>0</f>
        <v>0</v>
      </c>
      <c r="G19" s="24" t="str">
        <f>IF($A19="","",IFERROR(INDEX(Scherpenzeel!$A$107:$A$206,MATCH($A19,Scherpenzeel!$C$107:$C$206,0)),""))</f>
        <v/>
      </c>
      <c r="H19" s="15">
        <f>IF($A19="",0,IFERROR(INDEX(Scherpenzeel!$I$107:$I$206,MATCH($A19,Scherpenzeel!$C$107:$C$206,0)),0))</f>
        <v>0</v>
      </c>
      <c r="I19" s="24" t="str">
        <f>IF($A19="","",IFERROR(INDEX('4'!$A$107:$A$206,MATCH($A19,'4'!$C$107:$C$206,0)),""))</f>
        <v/>
      </c>
      <c r="J19" s="15">
        <f>IF($A19="",0,IFERROR(INDEX('4'!$I$107:$I$206,MATCH($A19,'4'!$C$107:$C$206,0)),0))</f>
        <v>0</v>
      </c>
      <c r="K19" s="24" t="str">
        <f>IF($A19="","",IFERROR(INDEX('5'!$A$107:$A$206,MATCH($A19,'5'!$C$107:$C$206,0)),""))</f>
        <v/>
      </c>
      <c r="L19" s="15">
        <f>IF($A19="",0,IFERROR(INDEX('5'!$I$107:$I$206,MATCH($A19,'5'!$C$107:$C$206,0)),0))</f>
        <v>0</v>
      </c>
      <c r="M19" s="25">
        <f>IF($A19="","",D19+F19+H19+J19+L19)</f>
        <v>62</v>
      </c>
      <c r="N19" s="26">
        <f>IF(OR($A19="",M19="",M19=0),"",RANK(M19,$M$4:$M$203,0))</f>
        <v>16</v>
      </c>
      <c r="AA19" t="str">
        <f>Barneveld!C58</f>
        <v>Sjoerd Willemsen</v>
      </c>
      <c r="AB19">
        <f>IF(AA19="",0,IF(COUNTIF($AA$1:AA19,AA19)=1,1,0))</f>
        <v>1</v>
      </c>
      <c r="AC19">
        <f>IF(AB19=1,COUNTIF($AB$1:AB19,1),"")</f>
        <v>19</v>
      </c>
    </row>
    <row r="20" spans="1:29" x14ac:dyDescent="0.25">
      <c r="A20" s="13" t="str">
        <f>IFERROR(INDEX($AA$1:$AA$400,MATCH(36,$AC$1:$AC$400,0)),"")</f>
        <v>Timon Veerman</v>
      </c>
      <c r="B20" s="13" t="str">
        <f>IF($A20="","",IF(IFERROR(INDEX(Barneveld!$E$40:$E$139,MATCH($A20,Barneveld!$C$40:$C$139,0)),"")&lt;&gt;"",IFERROR(INDEX(Barneveld!$E$40:$E$139,MATCH($A20,Barneveld!$C$40:$C$139,0)),""),IF(IFERROR(INDEX(Scherpenzeel!$F$107:$F$206,MATCH($A20,Scherpenzeel!$C$107:$C$206,0)),"")&lt;&gt;"",IFERROR(INDEX(Scherpenzeel!$F$107:$F$206,MATCH($A20,Scherpenzeel!$C$107:$C$206,0)),""),IF(IFERROR(INDEX('4'!$F$107:$F$206,MATCH($A20,'4'!$C$107:$C$206,0)),"")&lt;&gt;"",IFERROR(INDEX('4'!$F$107:$F$206,MATCH($A20,'4'!$C$107:$C$206,0)),""),IFERROR(INDEX('5'!$F$107:$F$206,MATCH($A20,'5'!$C$107:$C$206,0)),"")))))</f>
        <v/>
      </c>
      <c r="C20" s="24" t="str">
        <f>IF($A20="","",IFERROR(INDEX(Barneveld!$A$40:$A$139,MATCH($A20,Barneveld!$C$40:$C$139,0)),""))</f>
        <v/>
      </c>
      <c r="D20" s="15">
        <f>IF($A20="",0,IFERROR(INDEX(Barneveld!$H$40:$H$139,MATCH($A20,Barneveld!$C$40:$C$139,0)),0))</f>
        <v>0</v>
      </c>
      <c r="E20" s="24" t="str">
        <f>""</f>
        <v/>
      </c>
      <c r="F20" s="15">
        <f>0</f>
        <v>0</v>
      </c>
      <c r="G20" s="24">
        <f>IF($A20="","",IFERROR(INDEX(Scherpenzeel!$A$107:$A$206,MATCH($A20,Scherpenzeel!$C$107:$C$206,0)),""))</f>
        <v>8</v>
      </c>
      <c r="H20" s="15">
        <f>IF($A20="",0,IFERROR(INDEX(Scherpenzeel!$I$107:$I$206,MATCH($A20,Scherpenzeel!$C$107:$C$206,0)),0))</f>
        <v>62</v>
      </c>
      <c r="I20" s="24" t="str">
        <f>IF($A20="","",IFERROR(INDEX('4'!$A$107:$A$206,MATCH($A20,'4'!$C$107:$C$206,0)),""))</f>
        <v/>
      </c>
      <c r="J20" s="15">
        <f>IF($A20="",0,IFERROR(INDEX('4'!$I$107:$I$206,MATCH($A20,'4'!$C$107:$C$206,0)),0))</f>
        <v>0</v>
      </c>
      <c r="K20" s="24" t="str">
        <f>IF($A20="","",IFERROR(INDEX('5'!$A$107:$A$206,MATCH($A20,'5'!$C$107:$C$206,0)),""))</f>
        <v/>
      </c>
      <c r="L20" s="15">
        <f>IF($A20="",0,IFERROR(INDEX('5'!$I$107:$I$206,MATCH($A20,'5'!$C$107:$C$206,0)),0))</f>
        <v>0</v>
      </c>
      <c r="M20" s="25">
        <f>IF($A20="","",D20+F20+H20+J20+L20)</f>
        <v>62</v>
      </c>
      <c r="N20" s="26">
        <f>IF(OR($A20="",M20="",M20=0),"",RANK(M20,$M$4:$M$203,0))</f>
        <v>16</v>
      </c>
      <c r="AA20" t="str">
        <f>Barneveld!C59</f>
        <v>Andre Klompmaker</v>
      </c>
      <c r="AB20">
        <f>IF(AA20="",0,IF(COUNTIF($AA$1:AA20,AA20)=1,1,0))</f>
        <v>1</v>
      </c>
      <c r="AC20">
        <f>IF(AB20=1,COUNTIF($AB$1:AB20,1),"")</f>
        <v>20</v>
      </c>
    </row>
    <row r="21" spans="1:29" x14ac:dyDescent="0.25">
      <c r="A21" s="13" t="str">
        <f>IFERROR(INDEX($AA$1:$AA$400,MATCH(9,$AC$1:$AC$400,0)),"")</f>
        <v>Arjen Veldhuizen</v>
      </c>
      <c r="B21" s="13" t="str">
        <f>IF($A21="","",IF(IFERROR(INDEX(Barneveld!$E$40:$E$139,MATCH($A21,Barneveld!$C$40:$C$139,0)),"")&lt;&gt;"",IFERROR(INDEX(Barneveld!$E$40:$E$139,MATCH($A21,Barneveld!$C$40:$C$139,0)),""),IF(IFERROR(INDEX(Scherpenzeel!$F$107:$F$206,MATCH($A21,Scherpenzeel!$C$107:$C$206,0)),"")&lt;&gt;"",IFERROR(INDEX(Scherpenzeel!$F$107:$F$206,MATCH($A21,Scherpenzeel!$C$107:$C$206,0)),""),IF(IFERROR(INDEX('4'!$F$107:$F$206,MATCH($A21,'4'!$C$107:$C$206,0)),"")&lt;&gt;"",IFERROR(INDEX('4'!$F$107:$F$206,MATCH($A21,'4'!$C$107:$C$206,0)),""),IFERROR(INDEX('5'!$F$107:$F$206,MATCH($A21,'5'!$C$107:$C$206,0)),"")))))</f>
        <v/>
      </c>
      <c r="C21" s="24">
        <f>IF($A21="","",IFERROR(INDEX(Barneveld!$A$40:$A$139,MATCH($A21,Barneveld!$C$40:$C$139,0)),""))</f>
        <v>9</v>
      </c>
      <c r="D21" s="15">
        <f>IF($A21="",0,IFERROR(INDEX(Barneveld!$H$40:$H$139,MATCH($A21,Barneveld!$C$40:$C$139,0)),0))</f>
        <v>58</v>
      </c>
      <c r="E21" s="24" t="str">
        <f>""</f>
        <v/>
      </c>
      <c r="F21" s="15">
        <f>0</f>
        <v>0</v>
      </c>
      <c r="G21" s="24" t="str">
        <f>IF($A21="","",IFERROR(INDEX(Scherpenzeel!$A$107:$A$206,MATCH($A21,Scherpenzeel!$C$107:$C$206,0)),""))</f>
        <v/>
      </c>
      <c r="H21" s="15">
        <f>IF($A21="",0,IFERROR(INDEX(Scherpenzeel!$I$107:$I$206,MATCH($A21,Scherpenzeel!$C$107:$C$206,0)),0))</f>
        <v>0</v>
      </c>
      <c r="I21" s="24" t="str">
        <f>IF($A21="","",IFERROR(INDEX('4'!$A$107:$A$206,MATCH($A21,'4'!$C$107:$C$206,0)),""))</f>
        <v/>
      </c>
      <c r="J21" s="15">
        <f>IF($A21="",0,IFERROR(INDEX('4'!$I$107:$I$206,MATCH($A21,'4'!$C$107:$C$206,0)),0))</f>
        <v>0</v>
      </c>
      <c r="K21" s="24" t="str">
        <f>IF($A21="","",IFERROR(INDEX('5'!$A$107:$A$206,MATCH($A21,'5'!$C$107:$C$206,0)),""))</f>
        <v/>
      </c>
      <c r="L21" s="15">
        <f>IF($A21="",0,IFERROR(INDEX('5'!$I$107:$I$206,MATCH($A21,'5'!$C$107:$C$206,0)),0))</f>
        <v>0</v>
      </c>
      <c r="M21" s="25">
        <f>IF($A21="","",D21+F21+H21+J21+L21)</f>
        <v>58</v>
      </c>
      <c r="N21" s="26">
        <f>IF(OR($A21="",M21="",M21=0),"",RANK(M21,$M$4:$M$203,0))</f>
        <v>18</v>
      </c>
      <c r="AA21" t="str">
        <f>Barneveld!C60</f>
        <v>Daniel van der Meulen</v>
      </c>
      <c r="AB21">
        <f>IF(AA21="",0,IF(COUNTIF($AA$1:AA21,AA21)=1,1,0))</f>
        <v>1</v>
      </c>
      <c r="AC21">
        <f>IF(AB21=1,COUNTIF($AB$1:AB21,1),"")</f>
        <v>21</v>
      </c>
    </row>
    <row r="22" spans="1:29" x14ac:dyDescent="0.25">
      <c r="A22" s="13" t="str">
        <f>IFERROR(INDEX($AA$1:$AA$400,MATCH(37,$AC$1:$AC$400,0)),"")</f>
        <v>Dennis Gerressen</v>
      </c>
      <c r="B22" s="13" t="str">
        <f>IF($A22="","",IF(IFERROR(INDEX(Barneveld!$E$40:$E$139,MATCH($A22,Barneveld!$C$40:$C$139,0)),"")&lt;&gt;"",IFERROR(INDEX(Barneveld!$E$40:$E$139,MATCH($A22,Barneveld!$C$40:$C$139,0)),""),IF(IFERROR(INDEX(Scherpenzeel!$F$107:$F$206,MATCH($A22,Scherpenzeel!$C$107:$C$206,0)),"")&lt;&gt;"",IFERROR(INDEX(Scherpenzeel!$F$107:$F$206,MATCH($A22,Scherpenzeel!$C$107:$C$206,0)),""),IF(IFERROR(INDEX('4'!$F$107:$F$206,MATCH($A22,'4'!$C$107:$C$206,0)),"")&lt;&gt;"",IFERROR(INDEX('4'!$F$107:$F$206,MATCH($A22,'4'!$C$107:$C$206,0)),""),IFERROR(INDEX('5'!$F$107:$F$206,MATCH($A22,'5'!$C$107:$C$206,0)),"")))))</f>
        <v>BEAT Cycling Club</v>
      </c>
      <c r="C22" s="24" t="str">
        <f>IF($A22="","",IFERROR(INDEX(Barneveld!$A$40:$A$139,MATCH($A22,Barneveld!$C$40:$C$139,0)),""))</f>
        <v/>
      </c>
      <c r="D22" s="15">
        <f>IF($A22="",0,IFERROR(INDEX(Barneveld!$H$40:$H$139,MATCH($A22,Barneveld!$C$40:$C$139,0)),0))</f>
        <v>0</v>
      </c>
      <c r="E22" s="24" t="str">
        <f>""</f>
        <v/>
      </c>
      <c r="F22" s="15">
        <f>0</f>
        <v>0</v>
      </c>
      <c r="G22" s="24">
        <f>IF($A22="","",IFERROR(INDEX(Scherpenzeel!$A$107:$A$206,MATCH($A22,Scherpenzeel!$C$107:$C$206,0)),""))</f>
        <v>9</v>
      </c>
      <c r="H22" s="15">
        <f>IF($A22="",0,IFERROR(INDEX(Scherpenzeel!$I$107:$I$206,MATCH($A22,Scherpenzeel!$C$107:$C$206,0)),0))</f>
        <v>58</v>
      </c>
      <c r="I22" s="24" t="str">
        <f>IF($A22="","",IFERROR(INDEX('4'!$A$107:$A$206,MATCH($A22,'4'!$C$107:$C$206,0)),""))</f>
        <v/>
      </c>
      <c r="J22" s="15">
        <f>IF($A22="",0,IFERROR(INDEX('4'!$I$107:$I$206,MATCH($A22,'4'!$C$107:$C$206,0)),0))</f>
        <v>0</v>
      </c>
      <c r="K22" s="24" t="str">
        <f>IF($A22="","",IFERROR(INDEX('5'!$A$107:$A$206,MATCH($A22,'5'!$C$107:$C$206,0)),""))</f>
        <v/>
      </c>
      <c r="L22" s="15">
        <f>IF($A22="",0,IFERROR(INDEX('5'!$I$107:$I$206,MATCH($A22,'5'!$C$107:$C$206,0)),0))</f>
        <v>0</v>
      </c>
      <c r="M22" s="25">
        <f>IF($A22="","",D22+F22+H22+J22+L22)</f>
        <v>58</v>
      </c>
      <c r="N22" s="26">
        <f>IF(OR($A22="",M22="",M22=0),"",RANK(M22,$M$4:$M$203,0))</f>
        <v>18</v>
      </c>
      <c r="AA22" t="str">
        <f>Barneveld!C61</f>
        <v>Mark Snapper</v>
      </c>
      <c r="AB22">
        <f>IF(AA22="",0,IF(COUNTIF($AA$1:AA22,AA22)=1,1,0))</f>
        <v>1</v>
      </c>
      <c r="AC22">
        <f>IF(AB22=1,COUNTIF($AB$1:AB22,1),"")</f>
        <v>22</v>
      </c>
    </row>
    <row r="23" spans="1:29" x14ac:dyDescent="0.25">
      <c r="A23" s="13" t="str">
        <f>IFERROR(INDEX($AA$1:$AA$400,MATCH(10,$AC$1:$AC$400,0)),"")</f>
        <v>Gerjan Olsder</v>
      </c>
      <c r="B23" s="13" t="str">
        <f>IF($A23="","",IF(IFERROR(INDEX(Barneveld!$E$40:$E$139,MATCH($A23,Barneveld!$C$40:$C$139,0)),"")&lt;&gt;"",IFERROR(INDEX(Barneveld!$E$40:$E$139,MATCH($A23,Barneveld!$C$40:$C$139,0)),""),IF(IFERROR(INDEX(Scherpenzeel!$F$107:$F$206,MATCH($A23,Scherpenzeel!$C$107:$C$206,0)),"")&lt;&gt;"",IFERROR(INDEX(Scherpenzeel!$F$107:$F$206,MATCH($A23,Scherpenzeel!$C$107:$C$206,0)),""),IF(IFERROR(INDEX('4'!$F$107:$F$206,MATCH($A23,'4'!$C$107:$C$206,0)),"")&lt;&gt;"",IFERROR(INDEX('4'!$F$107:$F$206,MATCH($A23,'4'!$C$107:$C$206,0)),""),IFERROR(INDEX('5'!$F$107:$F$206,MATCH($A23,'5'!$C$107:$C$206,0)),"")))))</f>
        <v/>
      </c>
      <c r="C23" s="24">
        <f>IF($A23="","",IFERROR(INDEX(Barneveld!$A$40:$A$139,MATCH($A23,Barneveld!$C$40:$C$139,0)),""))</f>
        <v>10</v>
      </c>
      <c r="D23" s="15">
        <f>IF($A23="",0,IFERROR(INDEX(Barneveld!$H$40:$H$139,MATCH($A23,Barneveld!$C$40:$C$139,0)),0))</f>
        <v>54</v>
      </c>
      <c r="E23" s="24" t="str">
        <f>""</f>
        <v/>
      </c>
      <c r="F23" s="15">
        <f>0</f>
        <v>0</v>
      </c>
      <c r="G23" s="24" t="str">
        <f>IF($A23="","",IFERROR(INDEX(Scherpenzeel!$A$107:$A$206,MATCH($A23,Scherpenzeel!$C$107:$C$206,0)),""))</f>
        <v/>
      </c>
      <c r="H23" s="15">
        <f>IF($A23="",0,IFERROR(INDEX(Scherpenzeel!$I$107:$I$206,MATCH($A23,Scherpenzeel!$C$107:$C$206,0)),0))</f>
        <v>0</v>
      </c>
      <c r="I23" s="24" t="str">
        <f>IF($A23="","",IFERROR(INDEX('4'!$A$107:$A$206,MATCH($A23,'4'!$C$107:$C$206,0)),""))</f>
        <v/>
      </c>
      <c r="J23" s="15">
        <f>IF($A23="",0,IFERROR(INDEX('4'!$I$107:$I$206,MATCH($A23,'4'!$C$107:$C$206,0)),0))</f>
        <v>0</v>
      </c>
      <c r="K23" s="24" t="str">
        <f>IF($A23="","",IFERROR(INDEX('5'!$A$107:$A$206,MATCH($A23,'5'!$C$107:$C$206,0)),""))</f>
        <v/>
      </c>
      <c r="L23" s="15">
        <f>IF($A23="",0,IFERROR(INDEX('5'!$I$107:$I$206,MATCH($A23,'5'!$C$107:$C$206,0)),0))</f>
        <v>0</v>
      </c>
      <c r="M23" s="25">
        <f>IF($A23="","",D23+F23+H23+J23+L23)</f>
        <v>54</v>
      </c>
      <c r="N23" s="26">
        <f>IF(OR($A23="",M23="",M23=0),"",RANK(M23,$M$4:$M$203,0))</f>
        <v>20</v>
      </c>
      <c r="AA23" t="str">
        <f>Barneveld!C62</f>
        <v>Klaas Smink</v>
      </c>
      <c r="AB23">
        <f>IF(AA23="",0,IF(COUNTIF($AA$1:AA23,AA23)=1,1,0))</f>
        <v>1</v>
      </c>
      <c r="AC23">
        <f>IF(AB23=1,COUNTIF($AB$1:AB23,1),"")</f>
        <v>23</v>
      </c>
    </row>
    <row r="24" spans="1:29" x14ac:dyDescent="0.25">
      <c r="A24" s="13" t="str">
        <f>IFERROR(INDEX($AA$1:$AA$400,MATCH(38,$AC$1:$AC$400,0)),"")</f>
        <v>Jorrit van Ramshorst</v>
      </c>
      <c r="B24" s="13" t="str">
        <f>IF($A24="","",IF(IFERROR(INDEX(Barneveld!$E$40:$E$139,MATCH($A24,Barneveld!$C$40:$C$139,0)),"")&lt;&gt;"",IFERROR(INDEX(Barneveld!$E$40:$E$139,MATCH($A24,Barneveld!$C$40:$C$139,0)),""),IF(IFERROR(INDEX(Scherpenzeel!$F$107:$F$206,MATCH($A24,Scherpenzeel!$C$107:$C$206,0)),"")&lt;&gt;"",IFERROR(INDEX(Scherpenzeel!$F$107:$F$206,MATCH($A24,Scherpenzeel!$C$107:$C$206,0)),""),IF(IFERROR(INDEX('4'!$F$107:$F$206,MATCH($A24,'4'!$C$107:$C$206,0)),"")&lt;&gt;"",IFERROR(INDEX('4'!$F$107:$F$206,MATCH($A24,'4'!$C$107:$C$206,0)),""),IFERROR(INDEX('5'!$F$107:$F$206,MATCH($A24,'5'!$C$107:$C$206,0)),"")))))</f>
        <v>KNWU</v>
      </c>
      <c r="C24" s="24" t="str">
        <f>IF($A24="","",IFERROR(INDEX(Barneveld!$A$40:$A$139,MATCH($A24,Barneveld!$C$40:$C$139,0)),""))</f>
        <v/>
      </c>
      <c r="D24" s="15">
        <f>IF($A24="",0,IFERROR(INDEX(Barneveld!$H$40:$H$139,MATCH($A24,Barneveld!$C$40:$C$139,0)),0))</f>
        <v>0</v>
      </c>
      <c r="E24" s="24" t="str">
        <f>""</f>
        <v/>
      </c>
      <c r="F24" s="15">
        <f>0</f>
        <v>0</v>
      </c>
      <c r="G24" s="24">
        <f>IF($A24="","",IFERROR(INDEX(Scherpenzeel!$A$107:$A$206,MATCH($A24,Scherpenzeel!$C$107:$C$206,0)),""))</f>
        <v>10</v>
      </c>
      <c r="H24" s="15">
        <f>IF($A24="",0,IFERROR(INDEX(Scherpenzeel!$I$107:$I$206,MATCH($A24,Scherpenzeel!$C$107:$C$206,0)),0))</f>
        <v>54</v>
      </c>
      <c r="I24" s="24" t="str">
        <f>IF($A24="","",IFERROR(INDEX('4'!$A$107:$A$206,MATCH($A24,'4'!$C$107:$C$206,0)),""))</f>
        <v/>
      </c>
      <c r="J24" s="15">
        <f>IF($A24="",0,IFERROR(INDEX('4'!$I$107:$I$206,MATCH($A24,'4'!$C$107:$C$206,0)),0))</f>
        <v>0</v>
      </c>
      <c r="K24" s="24" t="str">
        <f>IF($A24="","",IFERROR(INDEX('5'!$A$107:$A$206,MATCH($A24,'5'!$C$107:$C$206,0)),""))</f>
        <v/>
      </c>
      <c r="L24" s="15">
        <f>IF($A24="",0,IFERROR(INDEX('5'!$I$107:$I$206,MATCH($A24,'5'!$C$107:$C$206,0)),0))</f>
        <v>0</v>
      </c>
      <c r="M24" s="25">
        <f>IF($A24="","",D24+F24+H24+J24+L24)</f>
        <v>54</v>
      </c>
      <c r="N24" s="26">
        <f>IF(OR($A24="",M24="",M24=0),"",RANK(M24,$M$4:$M$203,0))</f>
        <v>20</v>
      </c>
      <c r="AA24" t="str">
        <f>Barneveld!C63</f>
        <v>Michiel Brul</v>
      </c>
      <c r="AB24">
        <f>IF(AA24="",0,IF(COUNTIF($AA$1:AA24,AA24)=1,1,0))</f>
        <v>1</v>
      </c>
      <c r="AC24">
        <f>IF(AB24=1,COUNTIF($AB$1:AB24,1),"")</f>
        <v>24</v>
      </c>
    </row>
    <row r="25" spans="1:29" x14ac:dyDescent="0.25">
      <c r="A25" s="13" t="str">
        <f>IFERROR(INDEX($AA$1:$AA$400,MATCH(11,$AC$1:$AC$400,0)),"")</f>
        <v>David Noordhoek</v>
      </c>
      <c r="B25" s="13" t="str">
        <f>IF($A25="","",IF(IFERROR(INDEX(Barneveld!$E$40:$E$139,MATCH($A25,Barneveld!$C$40:$C$139,0)),"")&lt;&gt;"",IFERROR(INDEX(Barneveld!$E$40:$E$139,MATCH($A25,Barneveld!$C$40:$C$139,0)),""),IF(IFERROR(INDEX(Scherpenzeel!$F$107:$F$206,MATCH($A25,Scherpenzeel!$C$107:$C$206,0)),"")&lt;&gt;"",IFERROR(INDEX(Scherpenzeel!$F$107:$F$206,MATCH($A25,Scherpenzeel!$C$107:$C$206,0)),""),IF(IFERROR(INDEX('4'!$F$107:$F$206,MATCH($A25,'4'!$C$107:$C$206,0)),"")&lt;&gt;"",IFERROR(INDEX('4'!$F$107:$F$206,MATCH($A25,'4'!$C$107:$C$206,0)),""),IFERROR(INDEX('5'!$F$107:$F$206,MATCH($A25,'5'!$C$107:$C$206,0)),"")))))</f>
        <v/>
      </c>
      <c r="C25" s="24">
        <f>IF($A25="","",IFERROR(INDEX(Barneveld!$A$40:$A$139,MATCH($A25,Barneveld!$C$40:$C$139,0)),""))</f>
        <v>11</v>
      </c>
      <c r="D25" s="15">
        <f>IF($A25="",0,IFERROR(INDEX(Barneveld!$H$40:$H$139,MATCH($A25,Barneveld!$C$40:$C$139,0)),0))</f>
        <v>50</v>
      </c>
      <c r="E25" s="24" t="str">
        <f>""</f>
        <v/>
      </c>
      <c r="F25" s="15">
        <f>0</f>
        <v>0</v>
      </c>
      <c r="G25" s="24" t="str">
        <f>IF($A25="","",IFERROR(INDEX(Scherpenzeel!$A$107:$A$206,MATCH($A25,Scherpenzeel!$C$107:$C$206,0)),""))</f>
        <v/>
      </c>
      <c r="H25" s="15">
        <f>IF($A25="",0,IFERROR(INDEX(Scherpenzeel!$I$107:$I$206,MATCH($A25,Scherpenzeel!$C$107:$C$206,0)),0))</f>
        <v>0</v>
      </c>
      <c r="I25" s="24" t="str">
        <f>IF($A25="","",IFERROR(INDEX('4'!$A$107:$A$206,MATCH($A25,'4'!$C$107:$C$206,0)),""))</f>
        <v/>
      </c>
      <c r="J25" s="15">
        <f>IF($A25="",0,IFERROR(INDEX('4'!$I$107:$I$206,MATCH($A25,'4'!$C$107:$C$206,0)),0))</f>
        <v>0</v>
      </c>
      <c r="K25" s="24" t="str">
        <f>IF($A25="","",IFERROR(INDEX('5'!$A$107:$A$206,MATCH($A25,'5'!$C$107:$C$206,0)),""))</f>
        <v/>
      </c>
      <c r="L25" s="15">
        <f>IF($A25="",0,IFERROR(INDEX('5'!$I$107:$I$206,MATCH($A25,'5'!$C$107:$C$206,0)),0))</f>
        <v>0</v>
      </c>
      <c r="M25" s="25">
        <f>IF($A25="","",D25+F25+H25+J25+L25)</f>
        <v>50</v>
      </c>
      <c r="N25" s="26">
        <f>IF(OR($A25="",M25="",M25=0),"",RANK(M25,$M$4:$M$203,0))</f>
        <v>22</v>
      </c>
      <c r="AA25" t="str">
        <f>Barneveld!C64</f>
        <v>Erwin van Veenschoten</v>
      </c>
      <c r="AB25">
        <f>IF(AA25="",0,IF(COUNTIF($AA$1:AA25,AA25)=1,1,0))</f>
        <v>1</v>
      </c>
      <c r="AC25">
        <f>IF(AB25=1,COUNTIF($AB$1:AB25,1),"")</f>
        <v>25</v>
      </c>
    </row>
    <row r="26" spans="1:29" x14ac:dyDescent="0.25">
      <c r="A26" s="13" t="str">
        <f>IFERROR(INDEX($AA$1:$AA$400,MATCH(39,$AC$1:$AC$400,0)),"")</f>
        <v>Jorden Paays</v>
      </c>
      <c r="B26" s="13" t="str">
        <f>IF($A26="","",IF(IFERROR(INDEX(Barneveld!$E$40:$E$139,MATCH($A26,Barneveld!$C$40:$C$139,0)),"")&lt;&gt;"",IFERROR(INDEX(Barneveld!$E$40:$E$139,MATCH($A26,Barneveld!$C$40:$C$139,0)),""),IF(IFERROR(INDEX(Scherpenzeel!$F$107:$F$206,MATCH($A26,Scherpenzeel!$C$107:$C$206,0)),"")&lt;&gt;"",IFERROR(INDEX(Scherpenzeel!$F$107:$F$206,MATCH($A26,Scherpenzeel!$C$107:$C$206,0)),""),IF(IFERROR(INDEX('4'!$F$107:$F$206,MATCH($A26,'4'!$C$107:$C$206,0)),"")&lt;&gt;"",IFERROR(INDEX('4'!$F$107:$F$206,MATCH($A26,'4'!$C$107:$C$206,0)),""),IFERROR(INDEX('5'!$F$107:$F$206,MATCH($A26,'5'!$C$107:$C$206,0)),"")))))</f>
        <v>Specialized Project '74</v>
      </c>
      <c r="C26" s="24" t="str">
        <f>IF($A26="","",IFERROR(INDEX(Barneveld!$A$40:$A$139,MATCH($A26,Barneveld!$C$40:$C$139,0)),""))</f>
        <v/>
      </c>
      <c r="D26" s="15">
        <f>IF($A26="",0,IFERROR(INDEX(Barneveld!$H$40:$H$139,MATCH($A26,Barneveld!$C$40:$C$139,0)),0))</f>
        <v>0</v>
      </c>
      <c r="E26" s="24" t="str">
        <f>""</f>
        <v/>
      </c>
      <c r="F26" s="15">
        <f>0</f>
        <v>0</v>
      </c>
      <c r="G26" s="24">
        <f>IF($A26="","",IFERROR(INDEX(Scherpenzeel!$A$107:$A$206,MATCH($A26,Scherpenzeel!$C$107:$C$206,0)),""))</f>
        <v>11</v>
      </c>
      <c r="H26" s="15">
        <f>IF($A26="",0,IFERROR(INDEX(Scherpenzeel!$I$107:$I$206,MATCH($A26,Scherpenzeel!$C$107:$C$206,0)),0))</f>
        <v>50</v>
      </c>
      <c r="I26" s="24" t="str">
        <f>IF($A26="","",IFERROR(INDEX('4'!$A$107:$A$206,MATCH($A26,'4'!$C$107:$C$206,0)),""))</f>
        <v/>
      </c>
      <c r="J26" s="15">
        <f>IF($A26="",0,IFERROR(INDEX('4'!$I$107:$I$206,MATCH($A26,'4'!$C$107:$C$206,0)),0))</f>
        <v>0</v>
      </c>
      <c r="K26" s="24" t="str">
        <f>IF($A26="","",IFERROR(INDEX('5'!$A$107:$A$206,MATCH($A26,'5'!$C$107:$C$206,0)),""))</f>
        <v/>
      </c>
      <c r="L26" s="15">
        <f>IF($A26="",0,IFERROR(INDEX('5'!$I$107:$I$206,MATCH($A26,'5'!$C$107:$C$206,0)),0))</f>
        <v>0</v>
      </c>
      <c r="M26" s="25">
        <f>IF($A26="","",D26+F26+H26+J26+L26)</f>
        <v>50</v>
      </c>
      <c r="N26" s="26">
        <f>IF(OR($A26="",M26="",M26=0),"",RANK(M26,$M$4:$M$203,0))</f>
        <v>22</v>
      </c>
      <c r="AA26" t="str">
        <f>Barneveld!C65</f>
        <v>Nathan Bakkenes</v>
      </c>
      <c r="AB26">
        <f>IF(AA26="",0,IF(COUNTIF($AA$1:AA26,AA26)=1,1,0))</f>
        <v>1</v>
      </c>
      <c r="AC26">
        <f>IF(AB26=1,COUNTIF($AB$1:AB26,1),"")</f>
        <v>26</v>
      </c>
    </row>
    <row r="27" spans="1:29" x14ac:dyDescent="0.25">
      <c r="A27" s="13" t="str">
        <f>IFERROR(INDEX($AA$1:$AA$400,MATCH(13,$AC$1:$AC$400,0)),"")</f>
        <v>Thomas van der Wardt</v>
      </c>
      <c r="B27" s="13" t="str">
        <f>IF($A27="","",IF(IFERROR(INDEX(Barneveld!$E$40:$E$139,MATCH($A27,Barneveld!$C$40:$C$139,0)),"")&lt;&gt;"",IFERROR(INDEX(Barneveld!$E$40:$E$139,MATCH($A27,Barneveld!$C$40:$C$139,0)),""),IF(IFERROR(INDEX(Scherpenzeel!$F$107:$F$206,MATCH($A27,Scherpenzeel!$C$107:$C$206,0)),"")&lt;&gt;"",IFERROR(INDEX(Scherpenzeel!$F$107:$F$206,MATCH($A27,Scherpenzeel!$C$107:$C$206,0)),""),IF(IFERROR(INDEX('4'!$F$107:$F$206,MATCH($A27,'4'!$C$107:$C$206,0)),"")&lt;&gt;"",IFERROR(INDEX('4'!$F$107:$F$206,MATCH($A27,'4'!$C$107:$C$206,0)),""),IFERROR(INDEX('5'!$F$107:$F$206,MATCH($A27,'5'!$C$107:$C$206,0)),"")))))</f>
        <v/>
      </c>
      <c r="C27" s="24">
        <f>IF($A27="","",IFERROR(INDEX(Barneveld!$A$40:$A$139,MATCH($A27,Barneveld!$C$40:$C$139,0)),""))</f>
        <v>13</v>
      </c>
      <c r="D27" s="15">
        <f>IF($A27="",0,IFERROR(INDEX(Barneveld!$H$40:$H$139,MATCH($A27,Barneveld!$C$40:$C$139,0)),0))</f>
        <v>44</v>
      </c>
      <c r="E27" s="24" t="str">
        <f>""</f>
        <v/>
      </c>
      <c r="F27" s="15">
        <f>0</f>
        <v>0</v>
      </c>
      <c r="G27" s="24" t="str">
        <f>IF($A27="","",IFERROR(INDEX(Scherpenzeel!$A$107:$A$206,MATCH($A27,Scherpenzeel!$C$107:$C$206,0)),""))</f>
        <v/>
      </c>
      <c r="H27" s="15">
        <f>IF($A27="",0,IFERROR(INDEX(Scherpenzeel!$I$107:$I$206,MATCH($A27,Scherpenzeel!$C$107:$C$206,0)),0))</f>
        <v>0</v>
      </c>
      <c r="I27" s="24" t="str">
        <f>IF($A27="","",IFERROR(INDEX('4'!$A$107:$A$206,MATCH($A27,'4'!$C$107:$C$206,0)),""))</f>
        <v/>
      </c>
      <c r="J27" s="15">
        <f>IF($A27="",0,IFERROR(INDEX('4'!$I$107:$I$206,MATCH($A27,'4'!$C$107:$C$206,0)),0))</f>
        <v>0</v>
      </c>
      <c r="K27" s="24" t="str">
        <f>IF($A27="","",IFERROR(INDEX('5'!$A$107:$A$206,MATCH($A27,'5'!$C$107:$C$206,0)),""))</f>
        <v/>
      </c>
      <c r="L27" s="15">
        <f>IF($A27="",0,IFERROR(INDEX('5'!$I$107:$I$206,MATCH($A27,'5'!$C$107:$C$206,0)),0))</f>
        <v>0</v>
      </c>
      <c r="M27" s="25">
        <f>IF($A27="","",D27+F27+H27+J27+L27)</f>
        <v>44</v>
      </c>
      <c r="N27" s="26">
        <f>IF(OR($A27="",M27="",M27=0),"",RANK(M27,$M$4:$M$203,0))</f>
        <v>24</v>
      </c>
      <c r="AA27" t="str">
        <f>Barneveld!C66</f>
        <v>Marcel Ekkel</v>
      </c>
      <c r="AB27">
        <f>IF(AA27="",0,IF(COUNTIF($AA$1:AA27,AA27)=1,1,0))</f>
        <v>1</v>
      </c>
      <c r="AC27">
        <f>IF(AB27=1,COUNTIF($AB$1:AB27,1),"")</f>
        <v>27</v>
      </c>
    </row>
    <row r="28" spans="1:29" x14ac:dyDescent="0.25">
      <c r="A28" s="13" t="str">
        <f>IFERROR(INDEX($AA$1:$AA$400,MATCH(14,$AC$1:$AC$400,0)),"")</f>
        <v>Kian Fidder</v>
      </c>
      <c r="B28" s="13" t="str">
        <f>IF($A28="","",IF(IFERROR(INDEX(Barneveld!$E$40:$E$139,MATCH($A28,Barneveld!$C$40:$C$139,0)),"")&lt;&gt;"",IFERROR(INDEX(Barneveld!$E$40:$E$139,MATCH($A28,Barneveld!$C$40:$C$139,0)),""),IF(IFERROR(INDEX(Scherpenzeel!$F$107:$F$206,MATCH($A28,Scherpenzeel!$C$107:$C$206,0)),"")&lt;&gt;"",IFERROR(INDEX(Scherpenzeel!$F$107:$F$206,MATCH($A28,Scherpenzeel!$C$107:$C$206,0)),""),IF(IFERROR(INDEX('4'!$F$107:$F$206,MATCH($A28,'4'!$C$107:$C$206,0)),"")&lt;&gt;"",IFERROR(INDEX('4'!$F$107:$F$206,MATCH($A28,'4'!$C$107:$C$206,0)),""),IFERROR(INDEX('5'!$F$107:$F$206,MATCH($A28,'5'!$C$107:$C$206,0)),"")))))</f>
        <v/>
      </c>
      <c r="C28" s="24">
        <f>IF($A28="","",IFERROR(INDEX(Barneveld!$A$40:$A$139,MATCH($A28,Barneveld!$C$40:$C$139,0)),""))</f>
        <v>14</v>
      </c>
      <c r="D28" s="15">
        <f>IF($A28="",0,IFERROR(INDEX(Barneveld!$H$40:$H$139,MATCH($A28,Barneveld!$C$40:$C$139,0)),0))</f>
        <v>41</v>
      </c>
      <c r="E28" s="24" t="str">
        <f>""</f>
        <v/>
      </c>
      <c r="F28" s="15">
        <f>0</f>
        <v>0</v>
      </c>
      <c r="G28" s="24" t="str">
        <f>IF($A28="","",IFERROR(INDEX(Scherpenzeel!$A$107:$A$206,MATCH($A28,Scherpenzeel!$C$107:$C$206,0)),""))</f>
        <v/>
      </c>
      <c r="H28" s="15">
        <f>IF($A28="",0,IFERROR(INDEX(Scherpenzeel!$I$107:$I$206,MATCH($A28,Scherpenzeel!$C$107:$C$206,0)),0))</f>
        <v>0</v>
      </c>
      <c r="I28" s="24" t="str">
        <f>IF($A28="","",IFERROR(INDEX('4'!$A$107:$A$206,MATCH($A28,'4'!$C$107:$C$206,0)),""))</f>
        <v/>
      </c>
      <c r="J28" s="15">
        <f>IF($A28="",0,IFERROR(INDEX('4'!$I$107:$I$206,MATCH($A28,'4'!$C$107:$C$206,0)),0))</f>
        <v>0</v>
      </c>
      <c r="K28" s="24" t="str">
        <f>IF($A28="","",IFERROR(INDEX('5'!$A$107:$A$206,MATCH($A28,'5'!$C$107:$C$206,0)),""))</f>
        <v/>
      </c>
      <c r="L28" s="15">
        <f>IF($A28="",0,IFERROR(INDEX('5'!$I$107:$I$206,MATCH($A28,'5'!$C$107:$C$206,0)),0))</f>
        <v>0</v>
      </c>
      <c r="M28" s="25">
        <f>IF($A28="","",D28+F28+H28+J28+L28)</f>
        <v>41</v>
      </c>
      <c r="N28" s="26">
        <f>IF(OR($A28="",M28="",M28=0),"",RANK(M28,$M$4:$M$203,0))</f>
        <v>25</v>
      </c>
      <c r="AA28" t="str">
        <f>Barneveld!C67</f>
        <v>Marlene de Ruiter</v>
      </c>
      <c r="AB28">
        <f>IF(AA28="",0,IF(COUNTIF($AA$1:AA28,AA28)=1,1,0))</f>
        <v>1</v>
      </c>
      <c r="AC28">
        <f>IF(AB28=1,COUNTIF($AB$1:AB28,1),"")</f>
        <v>28</v>
      </c>
    </row>
    <row r="29" spans="1:29" x14ac:dyDescent="0.25">
      <c r="A29" s="13" t="str">
        <f>IFERROR(INDEX($AA$1:$AA$400,MATCH(40,$AC$1:$AC$400,0)),"")</f>
        <v>Steven van der Wilk</v>
      </c>
      <c r="B29" s="13" t="str">
        <f>IF($A29="","",IF(IFERROR(INDEX(Barneveld!$E$40:$E$139,MATCH($A29,Barneveld!$C$40:$C$139,0)),"")&lt;&gt;"",IFERROR(INDEX(Barneveld!$E$40:$E$139,MATCH($A29,Barneveld!$C$40:$C$139,0)),""),IF(IFERROR(INDEX(Scherpenzeel!$F$107:$F$206,MATCH($A29,Scherpenzeel!$C$107:$C$206,0)),"")&lt;&gt;"",IFERROR(INDEX(Scherpenzeel!$F$107:$F$206,MATCH($A29,Scherpenzeel!$C$107:$C$206,0)),""),IF(IFERROR(INDEX('4'!$F$107:$F$206,MATCH($A29,'4'!$C$107:$C$206,0)),"")&lt;&gt;"",IFERROR(INDEX('4'!$F$107:$F$206,MATCH($A29,'4'!$C$107:$C$206,0)),""),IFERROR(INDEX('5'!$F$107:$F$206,MATCH($A29,'5'!$C$107:$C$206,0)),"")))))</f>
        <v>WV Ede</v>
      </c>
      <c r="C29" s="24" t="str">
        <f>IF($A29="","",IFERROR(INDEX(Barneveld!$A$40:$A$139,MATCH($A29,Barneveld!$C$40:$C$139,0)),""))</f>
        <v/>
      </c>
      <c r="D29" s="15">
        <f>IF($A29="",0,IFERROR(INDEX(Barneveld!$H$40:$H$139,MATCH($A29,Barneveld!$C$40:$C$139,0)),0))</f>
        <v>0</v>
      </c>
      <c r="E29" s="24" t="str">
        <f>""</f>
        <v/>
      </c>
      <c r="F29" s="15">
        <f>0</f>
        <v>0</v>
      </c>
      <c r="G29" s="24">
        <f>IF($A29="","",IFERROR(INDEX(Scherpenzeel!$A$107:$A$206,MATCH($A29,Scherpenzeel!$C$107:$C$206,0)),""))</f>
        <v>14</v>
      </c>
      <c r="H29" s="15">
        <f>IF($A29="",0,IFERROR(INDEX(Scherpenzeel!$I$107:$I$206,MATCH($A29,Scherpenzeel!$C$107:$C$206,0)),0))</f>
        <v>41</v>
      </c>
      <c r="I29" s="24" t="str">
        <f>IF($A29="","",IFERROR(INDEX('4'!$A$107:$A$206,MATCH($A29,'4'!$C$107:$C$206,0)),""))</f>
        <v/>
      </c>
      <c r="J29" s="15">
        <f>IF($A29="",0,IFERROR(INDEX('4'!$I$107:$I$206,MATCH($A29,'4'!$C$107:$C$206,0)),0))</f>
        <v>0</v>
      </c>
      <c r="K29" s="24" t="str">
        <f>IF($A29="","",IFERROR(INDEX('5'!$A$107:$A$206,MATCH($A29,'5'!$C$107:$C$206,0)),""))</f>
        <v/>
      </c>
      <c r="L29" s="15">
        <f>IF($A29="",0,IFERROR(INDEX('5'!$I$107:$I$206,MATCH($A29,'5'!$C$107:$C$206,0)),0))</f>
        <v>0</v>
      </c>
      <c r="M29" s="25">
        <f>IF($A29="","",D29+F29+H29+J29+L29)</f>
        <v>41</v>
      </c>
      <c r="N29" s="26">
        <f>IF(OR($A29="",M29="",M29=0),"",RANK(M29,$M$4:$M$203,0))</f>
        <v>25</v>
      </c>
      <c r="AA29" t="str">
        <f>Barneveld!C68</f>
        <v>Maas van Beek</v>
      </c>
      <c r="AB29">
        <f>IF(AA29="",0,IF(COUNTIF($AA$1:AA29,AA29)=1,1,0))</f>
        <v>1</v>
      </c>
      <c r="AC29">
        <f>IF(AB29=1,COUNTIF($AB$1:AB29,1),"")</f>
        <v>29</v>
      </c>
    </row>
    <row r="30" spans="1:29" x14ac:dyDescent="0.25">
      <c r="A30" s="13" t="str">
        <f>IFERROR(INDEX($AA$1:$AA$400,MATCH(15,$AC$1:$AC$400,0)),"")</f>
        <v>Andre van der Poel</v>
      </c>
      <c r="B30" s="13" t="str">
        <f>IF($A30="","",IF(IFERROR(INDEX(Barneveld!$E$40:$E$139,MATCH($A30,Barneveld!$C$40:$C$139,0)),"")&lt;&gt;"",IFERROR(INDEX(Barneveld!$E$40:$E$139,MATCH($A30,Barneveld!$C$40:$C$139,0)),""),IF(IFERROR(INDEX(Scherpenzeel!$F$107:$F$206,MATCH($A30,Scherpenzeel!$C$107:$C$206,0)),"")&lt;&gt;"",IFERROR(INDEX(Scherpenzeel!$F$107:$F$206,MATCH($A30,Scherpenzeel!$C$107:$C$206,0)),""),IF(IFERROR(INDEX('4'!$F$107:$F$206,MATCH($A30,'4'!$C$107:$C$206,0)),"")&lt;&gt;"",IFERROR(INDEX('4'!$F$107:$F$206,MATCH($A30,'4'!$C$107:$C$206,0)),""),IFERROR(INDEX('5'!$F$107:$F$206,MATCH($A30,'5'!$C$107:$C$206,0)),"")))))</f>
        <v/>
      </c>
      <c r="C30" s="24">
        <f>IF($A30="","",IFERROR(INDEX(Barneveld!$A$40:$A$139,MATCH($A30,Barneveld!$C$40:$C$139,0)),""))</f>
        <v>15</v>
      </c>
      <c r="D30" s="15">
        <f>IF($A30="",0,IFERROR(INDEX(Barneveld!$H$40:$H$139,MATCH($A30,Barneveld!$C$40:$C$139,0)),0))</f>
        <v>38</v>
      </c>
      <c r="E30" s="24" t="str">
        <f>""</f>
        <v/>
      </c>
      <c r="F30" s="15">
        <f>0</f>
        <v>0</v>
      </c>
      <c r="G30" s="24" t="str">
        <f>IF($A30="","",IFERROR(INDEX(Scherpenzeel!$A$107:$A$206,MATCH($A30,Scherpenzeel!$C$107:$C$206,0)),""))</f>
        <v/>
      </c>
      <c r="H30" s="15">
        <f>IF($A30="",0,IFERROR(INDEX(Scherpenzeel!$I$107:$I$206,MATCH($A30,Scherpenzeel!$C$107:$C$206,0)),0))</f>
        <v>0</v>
      </c>
      <c r="I30" s="24" t="str">
        <f>IF($A30="","",IFERROR(INDEX('4'!$A$107:$A$206,MATCH($A30,'4'!$C$107:$C$206,0)),""))</f>
        <v/>
      </c>
      <c r="J30" s="15">
        <f>IF($A30="",0,IFERROR(INDEX('4'!$I$107:$I$206,MATCH($A30,'4'!$C$107:$C$206,0)),0))</f>
        <v>0</v>
      </c>
      <c r="K30" s="24" t="str">
        <f>IF($A30="","",IFERROR(INDEX('5'!$A$107:$A$206,MATCH($A30,'5'!$C$107:$C$206,0)),""))</f>
        <v/>
      </c>
      <c r="L30" s="15">
        <f>IF($A30="",0,IFERROR(INDEX('5'!$I$107:$I$206,MATCH($A30,'5'!$C$107:$C$206,0)),0))</f>
        <v>0</v>
      </c>
      <c r="M30" s="25">
        <f>IF($A30="","",D30+F30+H30+J30+L30)</f>
        <v>38</v>
      </c>
      <c r="N30" s="26">
        <f>IF(OR($A30="",M30="",M30=0),"",RANK(M30,$M$4:$M$203,0))</f>
        <v>27</v>
      </c>
      <c r="AA30">
        <f>Barneveld!C69</f>
        <v>0</v>
      </c>
      <c r="AB30">
        <f>IF(AA30="",0,IF(COUNTIF($AA$1:AA30,AA30)=1,1,0))</f>
        <v>1</v>
      </c>
      <c r="AC30">
        <f>IF(AB30=1,COUNTIF($AB$1:AB30,1),"")</f>
        <v>30</v>
      </c>
    </row>
    <row r="31" spans="1:29" x14ac:dyDescent="0.25">
      <c r="A31" s="13" t="str">
        <f>IFERROR(INDEX($AA$1:$AA$400,MATCH(41,$AC$1:$AC$400,0)),"")</f>
        <v>Etienne Bouw</v>
      </c>
      <c r="B31" s="13" t="str">
        <f>IF($A31="","",IF(IFERROR(INDEX(Barneveld!$E$40:$E$139,MATCH($A31,Barneveld!$C$40:$C$139,0)),"")&lt;&gt;"",IFERROR(INDEX(Barneveld!$E$40:$E$139,MATCH($A31,Barneveld!$C$40:$C$139,0)),""),IF(IFERROR(INDEX(Scherpenzeel!$F$107:$F$206,MATCH($A31,Scherpenzeel!$C$107:$C$206,0)),"")&lt;&gt;"",IFERROR(INDEX(Scherpenzeel!$F$107:$F$206,MATCH($A31,Scherpenzeel!$C$107:$C$206,0)),""),IF(IFERROR(INDEX('4'!$F$107:$F$206,MATCH($A31,'4'!$C$107:$C$206,0)),"")&lt;&gt;"",IFERROR(INDEX('4'!$F$107:$F$206,MATCH($A31,'4'!$C$107:$C$206,0)),""),IFERROR(INDEX('5'!$F$107:$F$206,MATCH($A31,'5'!$C$107:$C$206,0)),"")))))</f>
        <v>RETO</v>
      </c>
      <c r="C31" s="24" t="str">
        <f>IF($A31="","",IFERROR(INDEX(Barneveld!$A$40:$A$139,MATCH($A31,Barneveld!$C$40:$C$139,0)),""))</f>
        <v/>
      </c>
      <c r="D31" s="15">
        <f>IF($A31="",0,IFERROR(INDEX(Barneveld!$H$40:$H$139,MATCH($A31,Barneveld!$C$40:$C$139,0)),0))</f>
        <v>0</v>
      </c>
      <c r="E31" s="24" t="str">
        <f>""</f>
        <v/>
      </c>
      <c r="F31" s="15">
        <f>0</f>
        <v>0</v>
      </c>
      <c r="G31" s="24">
        <f>IF($A31="","",IFERROR(INDEX(Scherpenzeel!$A$107:$A$206,MATCH($A31,Scherpenzeel!$C$107:$C$206,0)),""))</f>
        <v>15</v>
      </c>
      <c r="H31" s="15">
        <f>IF($A31="",0,IFERROR(INDEX(Scherpenzeel!$I$107:$I$206,MATCH($A31,Scherpenzeel!$C$107:$C$206,0)),0))</f>
        <v>38</v>
      </c>
      <c r="I31" s="24" t="str">
        <f>IF($A31="","",IFERROR(INDEX('4'!$A$107:$A$206,MATCH($A31,'4'!$C$107:$C$206,0)),""))</f>
        <v/>
      </c>
      <c r="J31" s="15">
        <f>IF($A31="",0,IFERROR(INDEX('4'!$I$107:$I$206,MATCH($A31,'4'!$C$107:$C$206,0)),0))</f>
        <v>0</v>
      </c>
      <c r="K31" s="24" t="str">
        <f>IF($A31="","",IFERROR(INDEX('5'!$A$107:$A$206,MATCH($A31,'5'!$C$107:$C$206,0)),""))</f>
        <v/>
      </c>
      <c r="L31" s="15">
        <f>IF($A31="",0,IFERROR(INDEX('5'!$I$107:$I$206,MATCH($A31,'5'!$C$107:$C$206,0)),0))</f>
        <v>0</v>
      </c>
      <c r="M31" s="25">
        <f>IF($A31="","",D31+F31+H31+J31+L31)</f>
        <v>38</v>
      </c>
      <c r="N31" s="26">
        <f>IF(OR($A31="",M31="",M31=0),"",RANK(M31,$M$4:$M$203,0))</f>
        <v>27</v>
      </c>
      <c r="AA31">
        <f>Barneveld!C70</f>
        <v>0</v>
      </c>
      <c r="AB31">
        <f>IF(AA31="",0,IF(COUNTIF($AA$1:AA31,AA31)=1,1,0))</f>
        <v>0</v>
      </c>
      <c r="AC31" t="str">
        <f>IF(AB31=1,COUNTIF($AB$1:AB31,1),"")</f>
        <v/>
      </c>
    </row>
    <row r="32" spans="1:29" x14ac:dyDescent="0.25">
      <c r="A32" s="13" t="str">
        <f>IFERROR(INDEX($AA$1:$AA$400,MATCH(16,$AC$1:$AC$400,0)),"")</f>
        <v>Hans van Brakel</v>
      </c>
      <c r="B32" s="13" t="str">
        <f>IF($A32="","",IF(IFERROR(INDEX(Barneveld!$E$40:$E$139,MATCH($A32,Barneveld!$C$40:$C$139,0)),"")&lt;&gt;"",IFERROR(INDEX(Barneveld!$E$40:$E$139,MATCH($A32,Barneveld!$C$40:$C$139,0)),""),IF(IFERROR(INDEX(Scherpenzeel!$F$107:$F$206,MATCH($A32,Scherpenzeel!$C$107:$C$206,0)),"")&lt;&gt;"",IFERROR(INDEX(Scherpenzeel!$F$107:$F$206,MATCH($A32,Scherpenzeel!$C$107:$C$206,0)),""),IF(IFERROR(INDEX('4'!$F$107:$F$206,MATCH($A32,'4'!$C$107:$C$206,0)),"")&lt;&gt;"",IFERROR(INDEX('4'!$F$107:$F$206,MATCH($A32,'4'!$C$107:$C$206,0)),""),IFERROR(INDEX('5'!$F$107:$F$206,MATCH($A32,'5'!$C$107:$C$206,0)),"")))))</f>
        <v/>
      </c>
      <c r="C32" s="24">
        <f>IF($A32="","",IFERROR(INDEX(Barneveld!$A$40:$A$139,MATCH($A32,Barneveld!$C$40:$C$139,0)),""))</f>
        <v>16</v>
      </c>
      <c r="D32" s="15">
        <f>IF($A32="",0,IFERROR(INDEX(Barneveld!$H$40:$H$139,MATCH($A32,Barneveld!$C$40:$C$139,0)),0))</f>
        <v>35</v>
      </c>
      <c r="E32" s="24" t="str">
        <f>""</f>
        <v/>
      </c>
      <c r="F32" s="15">
        <f>0</f>
        <v>0</v>
      </c>
      <c r="G32" s="24" t="str">
        <f>IF($A32="","",IFERROR(INDEX(Scherpenzeel!$A$107:$A$206,MATCH($A32,Scherpenzeel!$C$107:$C$206,0)),""))</f>
        <v/>
      </c>
      <c r="H32" s="15">
        <f>IF($A32="",0,IFERROR(INDEX(Scherpenzeel!$I$107:$I$206,MATCH($A32,Scherpenzeel!$C$107:$C$206,0)),0))</f>
        <v>0</v>
      </c>
      <c r="I32" s="24" t="str">
        <f>IF($A32="","",IFERROR(INDEX('4'!$A$107:$A$206,MATCH($A32,'4'!$C$107:$C$206,0)),""))</f>
        <v/>
      </c>
      <c r="J32" s="15">
        <f>IF($A32="",0,IFERROR(INDEX('4'!$I$107:$I$206,MATCH($A32,'4'!$C$107:$C$206,0)),0))</f>
        <v>0</v>
      </c>
      <c r="K32" s="24" t="str">
        <f>IF($A32="","",IFERROR(INDEX('5'!$A$107:$A$206,MATCH($A32,'5'!$C$107:$C$206,0)),""))</f>
        <v/>
      </c>
      <c r="L32" s="15">
        <f>IF($A32="",0,IFERROR(INDEX('5'!$I$107:$I$206,MATCH($A32,'5'!$C$107:$C$206,0)),0))</f>
        <v>0</v>
      </c>
      <c r="M32" s="25">
        <f>IF($A32="","",D32+F32+H32+J32+L32)</f>
        <v>35</v>
      </c>
      <c r="N32" s="26">
        <f>IF(OR($A32="",M32="",M32=0),"",RANK(M32,$M$4:$M$203,0))</f>
        <v>29</v>
      </c>
      <c r="AA32">
        <f>Barneveld!C71</f>
        <v>0</v>
      </c>
      <c r="AB32">
        <f>IF(AA32="",0,IF(COUNTIF($AA$1:AA32,AA32)=1,1,0))</f>
        <v>0</v>
      </c>
      <c r="AC32" t="str">
        <f>IF(AB32=1,COUNTIF($AB$1:AB32,1),"")</f>
        <v/>
      </c>
    </row>
    <row r="33" spans="1:29" x14ac:dyDescent="0.25">
      <c r="A33" s="13" t="str">
        <f>IFERROR(INDEX($AA$1:$AA$400,MATCH(42,$AC$1:$AC$400,0)),"")</f>
        <v>Sander Leppers</v>
      </c>
      <c r="B33" s="13" t="str">
        <f>IF($A33="","",IF(IFERROR(INDEX(Barneveld!$E$40:$E$139,MATCH($A33,Barneveld!$C$40:$C$139,0)),"")&lt;&gt;"",IFERROR(INDEX(Barneveld!$E$40:$E$139,MATCH($A33,Barneveld!$C$40:$C$139,0)),""),IF(IFERROR(INDEX(Scherpenzeel!$F$107:$F$206,MATCH($A33,Scherpenzeel!$C$107:$C$206,0)),"")&lt;&gt;"",IFERROR(INDEX(Scherpenzeel!$F$107:$F$206,MATCH($A33,Scherpenzeel!$C$107:$C$206,0)),""),IF(IFERROR(INDEX('4'!$F$107:$F$206,MATCH($A33,'4'!$C$107:$C$206,0)),"")&lt;&gt;"",IFERROR(INDEX('4'!$F$107:$F$206,MATCH($A33,'4'!$C$107:$C$206,0)),""),IFERROR(INDEX('5'!$F$107:$F$206,MATCH($A33,'5'!$C$107:$C$206,0)),"")))))</f>
        <v>WV de Valleirenners AXA</v>
      </c>
      <c r="C33" s="24" t="str">
        <f>IF($A33="","",IFERROR(INDEX(Barneveld!$A$40:$A$139,MATCH($A33,Barneveld!$C$40:$C$139,0)),""))</f>
        <v/>
      </c>
      <c r="D33" s="15">
        <f>IF($A33="",0,IFERROR(INDEX(Barneveld!$H$40:$H$139,MATCH($A33,Barneveld!$C$40:$C$139,0)),0))</f>
        <v>0</v>
      </c>
      <c r="E33" s="24" t="str">
        <f>""</f>
        <v/>
      </c>
      <c r="F33" s="15">
        <f>0</f>
        <v>0</v>
      </c>
      <c r="G33" s="24">
        <f>IF($A33="","",IFERROR(INDEX(Scherpenzeel!$A$107:$A$206,MATCH($A33,Scherpenzeel!$C$107:$C$206,0)),""))</f>
        <v>17</v>
      </c>
      <c r="H33" s="15">
        <f>IF($A33="",0,IFERROR(INDEX(Scherpenzeel!$I$107:$I$206,MATCH($A33,Scherpenzeel!$C$107:$C$206,0)),0))</f>
        <v>32</v>
      </c>
      <c r="I33" s="24" t="str">
        <f>IF($A33="","",IFERROR(INDEX('4'!$A$107:$A$206,MATCH($A33,'4'!$C$107:$C$206,0)),""))</f>
        <v/>
      </c>
      <c r="J33" s="15">
        <f>IF($A33="",0,IFERROR(INDEX('4'!$I$107:$I$206,MATCH($A33,'4'!$C$107:$C$206,0)),0))</f>
        <v>0</v>
      </c>
      <c r="K33" s="24" t="str">
        <f>IF($A33="","",IFERROR(INDEX('5'!$A$107:$A$206,MATCH($A33,'5'!$C$107:$C$206,0)),""))</f>
        <v/>
      </c>
      <c r="L33" s="15">
        <f>IF($A33="",0,IFERROR(INDEX('5'!$I$107:$I$206,MATCH($A33,'5'!$C$107:$C$206,0)),0))</f>
        <v>0</v>
      </c>
      <c r="M33" s="25">
        <f>IF($A33="","",D33+F33+H33+J33+L33)</f>
        <v>32</v>
      </c>
      <c r="N33" s="26">
        <f>IF(OR($A33="",M33="",M33=0),"",RANK(M33,$M$4:$M$203,0))</f>
        <v>30</v>
      </c>
      <c r="AA33">
        <f>Barneveld!C72</f>
        <v>0</v>
      </c>
      <c r="AB33">
        <f>IF(AA33="",0,IF(COUNTIF($AA$1:AA33,AA33)=1,1,0))</f>
        <v>0</v>
      </c>
      <c r="AC33" t="str">
        <f>IF(AB33=1,COUNTIF($AB$1:AB33,1),"")</f>
        <v/>
      </c>
    </row>
    <row r="34" spans="1:29" x14ac:dyDescent="0.25">
      <c r="A34" s="13" t="str">
        <f>IFERROR(INDEX($AA$1:$AA$400,MATCH(43,$AC$1:$AC$400,0)),"")</f>
        <v>Matthijs Looijen</v>
      </c>
      <c r="B34" s="13" t="str">
        <f>IF($A34="","",IF(IFERROR(INDEX(Barneveld!$E$40:$E$139,MATCH($A34,Barneveld!$C$40:$C$139,0)),"")&lt;&gt;"",IFERROR(INDEX(Barneveld!$E$40:$E$139,MATCH($A34,Barneveld!$C$40:$C$139,0)),""),IF(IFERROR(INDEX(Scherpenzeel!$F$107:$F$206,MATCH($A34,Scherpenzeel!$C$107:$C$206,0)),"")&lt;&gt;"",IFERROR(INDEX(Scherpenzeel!$F$107:$F$206,MATCH($A34,Scherpenzeel!$C$107:$C$206,0)),""),IF(IFERROR(INDEX('4'!$F$107:$F$206,MATCH($A34,'4'!$C$107:$C$206,0)),"")&lt;&gt;"",IFERROR(INDEX('4'!$F$107:$F$206,MATCH($A34,'4'!$C$107:$C$206,0)),""),IFERROR(INDEX('5'!$F$107:$F$206,MATCH($A34,'5'!$C$107:$C$206,0)),"")))))</f>
        <v/>
      </c>
      <c r="C34" s="24" t="str">
        <f>IF($A34="","",IFERROR(INDEX(Barneveld!$A$40:$A$139,MATCH($A34,Barneveld!$C$40:$C$139,0)),""))</f>
        <v/>
      </c>
      <c r="D34" s="15">
        <f>IF($A34="",0,IFERROR(INDEX(Barneveld!$H$40:$H$139,MATCH($A34,Barneveld!$C$40:$C$139,0)),0))</f>
        <v>0</v>
      </c>
      <c r="E34" s="24" t="str">
        <f>""</f>
        <v/>
      </c>
      <c r="F34" s="15">
        <f>0</f>
        <v>0</v>
      </c>
      <c r="G34" s="24">
        <f>IF($A34="","",IFERROR(INDEX(Scherpenzeel!$A$107:$A$206,MATCH($A34,Scherpenzeel!$C$107:$C$206,0)),""))</f>
        <v>18</v>
      </c>
      <c r="H34" s="15">
        <f>IF($A34="",0,IFERROR(INDEX(Scherpenzeel!$I$107:$I$206,MATCH($A34,Scherpenzeel!$C$107:$C$206,0)),0))</f>
        <v>29</v>
      </c>
      <c r="I34" s="24" t="str">
        <f>IF($A34="","",IFERROR(INDEX('4'!$A$107:$A$206,MATCH($A34,'4'!$C$107:$C$206,0)),""))</f>
        <v/>
      </c>
      <c r="J34" s="15">
        <f>IF($A34="",0,IFERROR(INDEX('4'!$I$107:$I$206,MATCH($A34,'4'!$C$107:$C$206,0)),0))</f>
        <v>0</v>
      </c>
      <c r="K34" s="24" t="str">
        <f>IF($A34="","",IFERROR(INDEX('5'!$A$107:$A$206,MATCH($A34,'5'!$C$107:$C$206,0)),""))</f>
        <v/>
      </c>
      <c r="L34" s="15">
        <f>IF($A34="",0,IFERROR(INDEX('5'!$I$107:$I$206,MATCH($A34,'5'!$C$107:$C$206,0)),0))</f>
        <v>0</v>
      </c>
      <c r="M34" s="25">
        <f>IF($A34="","",D34+F34+H34+J34+L34)</f>
        <v>29</v>
      </c>
      <c r="N34" s="26">
        <f>IF(OR($A34="",M34="",M34=0),"",RANK(M34,$M$4:$M$203,0))</f>
        <v>31</v>
      </c>
      <c r="AA34">
        <f>Barneveld!C73</f>
        <v>0</v>
      </c>
      <c r="AB34">
        <f>IF(AA34="",0,IF(COUNTIF($AA$1:AA34,AA34)=1,1,0))</f>
        <v>0</v>
      </c>
      <c r="AC34" t="str">
        <f>IF(AB34=1,COUNTIF($AB$1:AB34,1),"")</f>
        <v/>
      </c>
    </row>
    <row r="35" spans="1:29" x14ac:dyDescent="0.25">
      <c r="A35" s="13" t="str">
        <f>IFERROR(INDEX($AA$1:$AA$400,MATCH(19,$AC$1:$AC$400,0)),"")</f>
        <v>Sjoerd Willemsen</v>
      </c>
      <c r="B35" s="13" t="str">
        <f>IF($A35="","",IF(IFERROR(INDEX(Barneveld!$E$40:$E$139,MATCH($A35,Barneveld!$C$40:$C$139,0)),"")&lt;&gt;"",IFERROR(INDEX(Barneveld!$E$40:$E$139,MATCH($A35,Barneveld!$C$40:$C$139,0)),""),IF(IFERROR(INDEX(Scherpenzeel!$F$107:$F$206,MATCH($A35,Scherpenzeel!$C$107:$C$206,0)),"")&lt;&gt;"",IFERROR(INDEX(Scherpenzeel!$F$107:$F$206,MATCH($A35,Scherpenzeel!$C$107:$C$206,0)),""),IF(IFERROR(INDEX('4'!$F$107:$F$206,MATCH($A35,'4'!$C$107:$C$206,0)),"")&lt;&gt;"",IFERROR(INDEX('4'!$F$107:$F$206,MATCH($A35,'4'!$C$107:$C$206,0)),""),IFERROR(INDEX('5'!$F$107:$F$206,MATCH($A35,'5'!$C$107:$C$206,0)),"")))))</f>
        <v/>
      </c>
      <c r="C35" s="24">
        <f>IF($A35="","",IFERROR(INDEX(Barneveld!$A$40:$A$139,MATCH($A35,Barneveld!$C$40:$C$139,0)),""))</f>
        <v>19</v>
      </c>
      <c r="D35" s="15">
        <f>IF($A35="",0,IFERROR(INDEX(Barneveld!$H$40:$H$139,MATCH($A35,Barneveld!$C$40:$C$139,0)),0))</f>
        <v>26</v>
      </c>
      <c r="E35" s="24" t="str">
        <f>""</f>
        <v/>
      </c>
      <c r="F35" s="15">
        <f>0</f>
        <v>0</v>
      </c>
      <c r="G35" s="24" t="str">
        <f>IF($A35="","",IFERROR(INDEX(Scherpenzeel!$A$107:$A$206,MATCH($A35,Scherpenzeel!$C$107:$C$206,0)),""))</f>
        <v/>
      </c>
      <c r="H35" s="15">
        <f>IF($A35="",0,IFERROR(INDEX(Scherpenzeel!$I$107:$I$206,MATCH($A35,Scherpenzeel!$C$107:$C$206,0)),0))</f>
        <v>0</v>
      </c>
      <c r="I35" s="24" t="str">
        <f>IF($A35="","",IFERROR(INDEX('4'!$A$107:$A$206,MATCH($A35,'4'!$C$107:$C$206,0)),""))</f>
        <v/>
      </c>
      <c r="J35" s="15">
        <f>IF($A35="",0,IFERROR(INDEX('4'!$I$107:$I$206,MATCH($A35,'4'!$C$107:$C$206,0)),0))</f>
        <v>0</v>
      </c>
      <c r="K35" s="24" t="str">
        <f>IF($A35="","",IFERROR(INDEX('5'!$A$107:$A$206,MATCH($A35,'5'!$C$107:$C$206,0)),""))</f>
        <v/>
      </c>
      <c r="L35" s="15">
        <f>IF($A35="",0,IFERROR(INDEX('5'!$I$107:$I$206,MATCH($A35,'5'!$C$107:$C$206,0)),0))</f>
        <v>0</v>
      </c>
      <c r="M35" s="25">
        <f>IF($A35="","",D35+F35+H35+J35+L35)</f>
        <v>26</v>
      </c>
      <c r="N35" s="26">
        <f>IF(OR($A35="",M35="",M35=0),"",RANK(M35,$M$4:$M$203,0))</f>
        <v>32</v>
      </c>
      <c r="AA35">
        <f>Barneveld!C74</f>
        <v>0</v>
      </c>
      <c r="AB35">
        <f>IF(AA35="",0,IF(COUNTIF($AA$1:AA35,AA35)=1,1,0))</f>
        <v>0</v>
      </c>
      <c r="AC35" t="str">
        <f>IF(AB35=1,COUNTIF($AB$1:AB35,1),"")</f>
        <v/>
      </c>
    </row>
    <row r="36" spans="1:29" x14ac:dyDescent="0.25">
      <c r="A36" s="13" t="str">
        <f>IFERROR(INDEX($AA$1:$AA$400,MATCH(44,$AC$1:$AC$400,0)),"")</f>
        <v>Stijn Janssen</v>
      </c>
      <c r="B36" s="13" t="str">
        <f>IF($A36="","",IF(IFERROR(INDEX(Barneveld!$E$40:$E$139,MATCH($A36,Barneveld!$C$40:$C$139,0)),"")&lt;&gt;"",IFERROR(INDEX(Barneveld!$E$40:$E$139,MATCH($A36,Barneveld!$C$40:$C$139,0)),""),IF(IFERROR(INDEX(Scherpenzeel!$F$107:$F$206,MATCH($A36,Scherpenzeel!$C$107:$C$206,0)),"")&lt;&gt;"",IFERROR(INDEX(Scherpenzeel!$F$107:$F$206,MATCH($A36,Scherpenzeel!$C$107:$C$206,0)),""),IF(IFERROR(INDEX('4'!$F$107:$F$206,MATCH($A36,'4'!$C$107:$C$206,0)),"")&lt;&gt;"",IFERROR(INDEX('4'!$F$107:$F$206,MATCH($A36,'4'!$C$107:$C$206,0)),""),IFERROR(INDEX('5'!$F$107:$F$206,MATCH($A36,'5'!$C$107:$C$206,0)),"")))))</f>
        <v/>
      </c>
      <c r="C36" s="24" t="str">
        <f>IF($A36="","",IFERROR(INDEX(Barneveld!$A$40:$A$139,MATCH($A36,Barneveld!$C$40:$C$139,0)),""))</f>
        <v/>
      </c>
      <c r="D36" s="15">
        <f>IF($A36="",0,IFERROR(INDEX(Barneveld!$H$40:$H$139,MATCH($A36,Barneveld!$C$40:$C$139,0)),0))</f>
        <v>0</v>
      </c>
      <c r="E36" s="24" t="str">
        <f>""</f>
        <v/>
      </c>
      <c r="F36" s="15">
        <f>0</f>
        <v>0</v>
      </c>
      <c r="G36" s="24" t="str">
        <f>IF($A36="","",IFERROR(INDEX(Scherpenzeel!$A$107:$A$206,MATCH($A36,Scherpenzeel!$C$107:$C$206,0)),""))</f>
        <v>19</v>
      </c>
      <c r="H36" s="15">
        <v>26</v>
      </c>
      <c r="I36" s="24" t="str">
        <f>IF($A36="","",IFERROR(INDEX('4'!$A$107:$A$206,MATCH($A36,'4'!$C$107:$C$206,0)),""))</f>
        <v/>
      </c>
      <c r="J36" s="15">
        <f>IF($A36="",0,IFERROR(INDEX('4'!$I$107:$I$206,MATCH($A36,'4'!$C$107:$C$206,0)),0))</f>
        <v>0</v>
      </c>
      <c r="K36" s="24" t="str">
        <f>IF($A36="","",IFERROR(INDEX('5'!$A$107:$A$206,MATCH($A36,'5'!$C$107:$C$206,0)),""))</f>
        <v/>
      </c>
      <c r="L36" s="15">
        <f>IF($A36="",0,IFERROR(INDEX('5'!$I$107:$I$206,MATCH($A36,'5'!$C$107:$C$206,0)),0))</f>
        <v>0</v>
      </c>
      <c r="M36" s="25">
        <f>IF($A36="","",D36+F36+H36+J36+L36)</f>
        <v>26</v>
      </c>
      <c r="N36" s="26">
        <f>IF(OR($A36="",M36="",M36=0),"",RANK(M36,$M$4:$M$203,0))</f>
        <v>32</v>
      </c>
      <c r="AA36">
        <f>Barneveld!C75</f>
        <v>0</v>
      </c>
      <c r="AB36">
        <f>IF(AA36="",0,IF(COUNTIF($AA$1:AA36,AA36)=1,1,0))</f>
        <v>0</v>
      </c>
      <c r="AC36" t="str">
        <f>IF(AB36=1,COUNTIF($AB$1:AB36,1),"")</f>
        <v/>
      </c>
    </row>
    <row r="37" spans="1:29" x14ac:dyDescent="0.25">
      <c r="A37" s="13" t="str">
        <f>IFERROR(INDEX($AA$1:$AA$400,MATCH(20,$AC$1:$AC$400,0)),"")</f>
        <v>Andre Klompmaker</v>
      </c>
      <c r="B37" s="13" t="str">
        <f>IF($A37="","",IF(IFERROR(INDEX(Barneveld!$E$40:$E$139,MATCH($A37,Barneveld!$C$40:$C$139,0)),"")&lt;&gt;"",IFERROR(INDEX(Barneveld!$E$40:$E$139,MATCH($A37,Barneveld!$C$40:$C$139,0)),""),IF(IFERROR(INDEX(Scherpenzeel!$F$107:$F$206,MATCH($A37,Scherpenzeel!$C$107:$C$206,0)),"")&lt;&gt;"",IFERROR(INDEX(Scherpenzeel!$F$107:$F$206,MATCH($A37,Scherpenzeel!$C$107:$C$206,0)),""),IF(IFERROR(INDEX('4'!$F$107:$F$206,MATCH($A37,'4'!$C$107:$C$206,0)),"")&lt;&gt;"",IFERROR(INDEX('4'!$F$107:$F$206,MATCH($A37,'4'!$C$107:$C$206,0)),""),IFERROR(INDEX('5'!$F$107:$F$206,MATCH($A37,'5'!$C$107:$C$206,0)),"")))))</f>
        <v/>
      </c>
      <c r="C37" s="24">
        <f>IF($A37="","",IFERROR(INDEX(Barneveld!$A$40:$A$139,MATCH($A37,Barneveld!$C$40:$C$139,0)),""))</f>
        <v>20</v>
      </c>
      <c r="D37" s="15">
        <f>IF($A37="",0,IFERROR(INDEX(Barneveld!$H$40:$H$139,MATCH($A37,Barneveld!$C$40:$C$139,0)),0))</f>
        <v>24</v>
      </c>
      <c r="E37" s="24" t="str">
        <f>""</f>
        <v/>
      </c>
      <c r="F37" s="15">
        <f>0</f>
        <v>0</v>
      </c>
      <c r="G37" s="24" t="str">
        <f>IF($A37="","",IFERROR(INDEX(Scherpenzeel!$A$107:$A$206,MATCH($A37,Scherpenzeel!$C$107:$C$206,0)),""))</f>
        <v/>
      </c>
      <c r="H37" s="15">
        <f>IF($A37="",0,IFERROR(INDEX(Scherpenzeel!$I$107:$I$206,MATCH($A37,Scherpenzeel!$C$107:$C$206,0)),0))</f>
        <v>0</v>
      </c>
      <c r="I37" s="24" t="str">
        <f>IF($A37="","",IFERROR(INDEX('4'!$A$107:$A$206,MATCH($A37,'4'!$C$107:$C$206,0)),""))</f>
        <v/>
      </c>
      <c r="J37" s="15">
        <f>IF($A37="",0,IFERROR(INDEX('4'!$I$107:$I$206,MATCH($A37,'4'!$C$107:$C$206,0)),0))</f>
        <v>0</v>
      </c>
      <c r="K37" s="24" t="str">
        <f>IF($A37="","",IFERROR(INDEX('5'!$A$107:$A$206,MATCH($A37,'5'!$C$107:$C$206,0)),""))</f>
        <v/>
      </c>
      <c r="L37" s="15">
        <f>IF($A37="",0,IFERROR(INDEX('5'!$I$107:$I$206,MATCH($A37,'5'!$C$107:$C$206,0)),0))</f>
        <v>0</v>
      </c>
      <c r="M37" s="25">
        <f>IF($A37="","",D37+F37+H37+J37+L37)</f>
        <v>24</v>
      </c>
      <c r="N37" s="26">
        <f>IF(OR($A37="",M37="",M37=0),"",RANK(M37,$M$4:$M$203,0))</f>
        <v>34</v>
      </c>
      <c r="AA37">
        <f>Barneveld!C76</f>
        <v>0</v>
      </c>
      <c r="AB37">
        <f>IF(AA37="",0,IF(COUNTIF($AA$1:AA37,AA37)=1,1,0))</f>
        <v>0</v>
      </c>
      <c r="AC37" t="str">
        <f>IF(AB37=1,COUNTIF($AB$1:AB37,1),"")</f>
        <v/>
      </c>
    </row>
    <row r="38" spans="1:29" x14ac:dyDescent="0.25">
      <c r="A38" s="13" t="str">
        <f>IFERROR(INDEX($AA$1:$AA$400,MATCH(45,$AC$1:$AC$400,0)),"")</f>
        <v>Bram van Nieuwkoop</v>
      </c>
      <c r="B38" s="13" t="str">
        <f>IF($A38="","",IF(IFERROR(INDEX(Barneveld!$E$40:$E$139,MATCH($A38,Barneveld!$C$40:$C$139,0)),"")&lt;&gt;"",IFERROR(INDEX(Barneveld!$E$40:$E$139,MATCH($A38,Barneveld!$C$40:$C$139,0)),""),IF(IFERROR(INDEX(Scherpenzeel!$F$107:$F$206,MATCH($A38,Scherpenzeel!$C$107:$C$206,0)),"")&lt;&gt;"",IFERROR(INDEX(Scherpenzeel!$F$107:$F$206,MATCH($A38,Scherpenzeel!$C$107:$C$206,0)),""),IF(IFERROR(INDEX('4'!$F$107:$F$206,MATCH($A38,'4'!$C$107:$C$206,0)),"")&lt;&gt;"",IFERROR(INDEX('4'!$F$107:$F$206,MATCH($A38,'4'!$C$107:$C$206,0)),""),IFERROR(INDEX('5'!$F$107:$F$206,MATCH($A38,'5'!$C$107:$C$206,0)),"")))))</f>
        <v>KNWU</v>
      </c>
      <c r="C38" s="24" t="str">
        <f>IF($A38="","",IFERROR(INDEX(Barneveld!$A$40:$A$139,MATCH($A38,Barneveld!$C$40:$C$139,0)),""))</f>
        <v/>
      </c>
      <c r="D38" s="15">
        <f>IF($A38="",0,IFERROR(INDEX(Barneveld!$H$40:$H$139,MATCH($A38,Barneveld!$C$40:$C$139,0)),0))</f>
        <v>0</v>
      </c>
      <c r="E38" s="24" t="str">
        <f>""</f>
        <v/>
      </c>
      <c r="F38" s="15">
        <f>0</f>
        <v>0</v>
      </c>
      <c r="G38" s="24" t="str">
        <f>IF($A38="","",IFERROR(INDEX(Scherpenzeel!$A$107:$A$206,MATCH($A38,Scherpenzeel!$C$107:$C$206,0)),""))</f>
        <v>20</v>
      </c>
      <c r="H38" s="15">
        <v>24</v>
      </c>
      <c r="I38" s="24" t="str">
        <f>IF($A38="","",IFERROR(INDEX('4'!$A$107:$A$206,MATCH($A38,'4'!$C$107:$C$206,0)),""))</f>
        <v/>
      </c>
      <c r="J38" s="15">
        <f>IF($A38="",0,IFERROR(INDEX('4'!$I$107:$I$206,MATCH($A38,'4'!$C$107:$C$206,0)),0))</f>
        <v>0</v>
      </c>
      <c r="K38" s="24" t="str">
        <f>IF($A38="","",IFERROR(INDEX('5'!$A$107:$A$206,MATCH($A38,'5'!$C$107:$C$206,0)),""))</f>
        <v/>
      </c>
      <c r="L38" s="15">
        <f>IF($A38="",0,IFERROR(INDEX('5'!$I$107:$I$206,MATCH($A38,'5'!$C$107:$C$206,0)),0))</f>
        <v>0</v>
      </c>
      <c r="M38" s="25">
        <f>IF($A38="","",D38+F38+H38+J38+L38)</f>
        <v>24</v>
      </c>
      <c r="N38" s="26">
        <f>IF(OR($A38="",M38="",M38=0),"",RANK(M38,$M$4:$M$203,0))</f>
        <v>34</v>
      </c>
      <c r="AA38">
        <f>Barneveld!C77</f>
        <v>0</v>
      </c>
      <c r="AB38">
        <f>IF(AA38="",0,IF(COUNTIF($AA$1:AA38,AA38)=1,1,0))</f>
        <v>0</v>
      </c>
      <c r="AC38" t="str">
        <f>IF(AB38=1,COUNTIF($AB$1:AB38,1),"")</f>
        <v/>
      </c>
    </row>
    <row r="39" spans="1:29" x14ac:dyDescent="0.25">
      <c r="A39" s="13" t="str">
        <f>IFERROR(INDEX($AA$1:$AA$400,MATCH(21,$AC$1:$AC$400,0)),"")</f>
        <v>Daniel van der Meulen</v>
      </c>
      <c r="B39" s="13" t="str">
        <f>IF($A39="","",IF(IFERROR(INDEX(Barneveld!$E$40:$E$139,MATCH($A39,Barneveld!$C$40:$C$139,0)),"")&lt;&gt;"",IFERROR(INDEX(Barneveld!$E$40:$E$139,MATCH($A39,Barneveld!$C$40:$C$139,0)),""),IF(IFERROR(INDEX(Scherpenzeel!$F$107:$F$206,MATCH($A39,Scherpenzeel!$C$107:$C$206,0)),"")&lt;&gt;"",IFERROR(INDEX(Scherpenzeel!$F$107:$F$206,MATCH($A39,Scherpenzeel!$C$107:$C$206,0)),""),IF(IFERROR(INDEX('4'!$F$107:$F$206,MATCH($A39,'4'!$C$107:$C$206,0)),"")&lt;&gt;"",IFERROR(INDEX('4'!$F$107:$F$206,MATCH($A39,'4'!$C$107:$C$206,0)),""),IFERROR(INDEX('5'!$F$107:$F$206,MATCH($A39,'5'!$C$107:$C$206,0)),"")))))</f>
        <v>KNWU</v>
      </c>
      <c r="C39" s="24">
        <f>IF($A39="","",IFERROR(INDEX(Barneveld!$A$40:$A$139,MATCH($A39,Barneveld!$C$40:$C$139,0)),""))</f>
        <v>21</v>
      </c>
      <c r="D39" s="15">
        <f>IF($A39="",0,IFERROR(INDEX(Barneveld!$H$40:$H$139,MATCH($A39,Barneveld!$C$40:$C$139,0)),0))</f>
        <v>22</v>
      </c>
      <c r="E39" s="24" t="str">
        <f>""</f>
        <v/>
      </c>
      <c r="F39" s="15">
        <f>0</f>
        <v>0</v>
      </c>
      <c r="G39" s="24" t="str">
        <f>IF($A39="","",IFERROR(INDEX(Scherpenzeel!$A$107:$A$206,MATCH($A39,Scherpenzeel!$C$107:$C$206,0)),""))</f>
        <v>DNF</v>
      </c>
      <c r="H39" s="15">
        <f>IF($A39="",0,IFERROR(INDEX(Scherpenzeel!$I$107:$I$206,MATCH($A39,Scherpenzeel!$C$107:$C$206,0)),0))</f>
        <v>1</v>
      </c>
      <c r="I39" s="24" t="str">
        <f>IF($A39="","",IFERROR(INDEX('4'!$A$107:$A$206,MATCH($A39,'4'!$C$107:$C$206,0)),""))</f>
        <v/>
      </c>
      <c r="J39" s="15">
        <f>IF($A39="",0,IFERROR(INDEX('4'!$I$107:$I$206,MATCH($A39,'4'!$C$107:$C$206,0)),0))</f>
        <v>0</v>
      </c>
      <c r="K39" s="24" t="str">
        <f>IF($A39="","",IFERROR(INDEX('5'!$A$107:$A$206,MATCH($A39,'5'!$C$107:$C$206,0)),""))</f>
        <v/>
      </c>
      <c r="L39" s="15">
        <f>IF($A39="",0,IFERROR(INDEX('5'!$I$107:$I$206,MATCH($A39,'5'!$C$107:$C$206,0)),0))</f>
        <v>0</v>
      </c>
      <c r="M39" s="25">
        <f>IF($A39="","",D39+F39+H39+J39+L39)</f>
        <v>23</v>
      </c>
      <c r="N39" s="26">
        <f>IF(OR($A39="",M39="",M39=0),"",RANK(M39,$M$4:$M$203,0))</f>
        <v>36</v>
      </c>
      <c r="AA39">
        <f>Barneveld!C78</f>
        <v>0</v>
      </c>
      <c r="AB39">
        <f>IF(AA39="",0,IF(COUNTIF($AA$1:AA39,AA39)=1,1,0))</f>
        <v>0</v>
      </c>
      <c r="AC39" t="str">
        <f>IF(AB39=1,COUNTIF($AB$1:AB39,1),"")</f>
        <v/>
      </c>
    </row>
    <row r="40" spans="1:29" x14ac:dyDescent="0.25">
      <c r="A40" s="13" t="str">
        <f>IFERROR(INDEX($AA$1:$AA$400,MATCH(22,$AC$1:$AC$400,0)),"")</f>
        <v>Mark Snapper</v>
      </c>
      <c r="B40" s="13" t="str">
        <f>IF($A40="","",IF(IFERROR(INDEX(Barneveld!$E$40:$E$139,MATCH($A40,Barneveld!$C$40:$C$139,0)),"")&lt;&gt;"",IFERROR(INDEX(Barneveld!$E$40:$E$139,MATCH($A40,Barneveld!$C$40:$C$139,0)),""),IF(IFERROR(INDEX(Scherpenzeel!$F$107:$F$206,MATCH($A40,Scherpenzeel!$C$107:$C$206,0)),"")&lt;&gt;"",IFERROR(INDEX(Scherpenzeel!$F$107:$F$206,MATCH($A40,Scherpenzeel!$C$107:$C$206,0)),""),IF(IFERROR(INDEX('4'!$F$107:$F$206,MATCH($A40,'4'!$C$107:$C$206,0)),"")&lt;&gt;"",IFERROR(INDEX('4'!$F$107:$F$206,MATCH($A40,'4'!$C$107:$C$206,0)),""),IFERROR(INDEX('5'!$F$107:$F$206,MATCH($A40,'5'!$C$107:$C$206,0)),"")))))</f>
        <v/>
      </c>
      <c r="C40" s="24">
        <f>IF($A40="","",IFERROR(INDEX(Barneveld!$A$40:$A$139,MATCH($A40,Barneveld!$C$40:$C$139,0)),""))</f>
        <v>22</v>
      </c>
      <c r="D40" s="15">
        <f>IF($A40="",0,IFERROR(INDEX(Barneveld!$H$40:$H$139,MATCH($A40,Barneveld!$C$40:$C$139,0)),0))</f>
        <v>20</v>
      </c>
      <c r="E40" s="24" t="str">
        <f>""</f>
        <v/>
      </c>
      <c r="F40" s="15">
        <f>0</f>
        <v>0</v>
      </c>
      <c r="G40" s="24" t="str">
        <f>IF($A40="","",IFERROR(INDEX(Scherpenzeel!$A$107:$A$206,MATCH($A40,Scherpenzeel!$C$107:$C$206,0)),""))</f>
        <v/>
      </c>
      <c r="H40" s="15">
        <f>IF($A40="",0,IFERROR(INDEX(Scherpenzeel!$I$107:$I$206,MATCH($A40,Scherpenzeel!$C$107:$C$206,0)),0))</f>
        <v>0</v>
      </c>
      <c r="I40" s="24" t="str">
        <f>IF($A40="","",IFERROR(INDEX('4'!$A$107:$A$206,MATCH($A40,'4'!$C$107:$C$206,0)),""))</f>
        <v/>
      </c>
      <c r="J40" s="15">
        <f>IF($A40="",0,IFERROR(INDEX('4'!$I$107:$I$206,MATCH($A40,'4'!$C$107:$C$206,0)),0))</f>
        <v>0</v>
      </c>
      <c r="K40" s="24" t="str">
        <f>IF($A40="","",IFERROR(INDEX('5'!$A$107:$A$206,MATCH($A40,'5'!$C$107:$C$206,0)),""))</f>
        <v/>
      </c>
      <c r="L40" s="15">
        <f>IF($A40="",0,IFERROR(INDEX('5'!$I$107:$I$206,MATCH($A40,'5'!$C$107:$C$206,0)),0))</f>
        <v>0</v>
      </c>
      <c r="M40" s="25">
        <f>IF($A40="","",D40+F40+H40+J40+L40)</f>
        <v>20</v>
      </c>
      <c r="N40" s="26">
        <f>IF(OR($A40="",M40="",M40=0),"",RANK(M40,$M$4:$M$203,0))</f>
        <v>37</v>
      </c>
      <c r="AA40">
        <f>Barneveld!C79</f>
        <v>0</v>
      </c>
      <c r="AB40">
        <f>IF(AA40="",0,IF(COUNTIF($AA$1:AA40,AA40)=1,1,0))</f>
        <v>0</v>
      </c>
      <c r="AC40" t="str">
        <f>IF(AB40=1,COUNTIF($AB$1:AB40,1),"")</f>
        <v/>
      </c>
    </row>
    <row r="41" spans="1:29" x14ac:dyDescent="0.25">
      <c r="A41" s="13" t="str">
        <f>IFERROR(INDEX($AA$1:$AA$400,MATCH(23,$AC$1:$AC$400,0)),"")</f>
        <v>Klaas Smink</v>
      </c>
      <c r="B41" s="13" t="str">
        <f>IF($A41="","",IF(IFERROR(INDEX(Barneveld!$E$40:$E$139,MATCH($A41,Barneveld!$C$40:$C$139,0)),"")&lt;&gt;"",IFERROR(INDEX(Barneveld!$E$40:$E$139,MATCH($A41,Barneveld!$C$40:$C$139,0)),""),IF(IFERROR(INDEX(Scherpenzeel!$F$107:$F$206,MATCH($A41,Scherpenzeel!$C$107:$C$206,0)),"")&lt;&gt;"",IFERROR(INDEX(Scherpenzeel!$F$107:$F$206,MATCH($A41,Scherpenzeel!$C$107:$C$206,0)),""),IF(IFERROR(INDEX('4'!$F$107:$F$206,MATCH($A41,'4'!$C$107:$C$206,0)),"")&lt;&gt;"",IFERROR(INDEX('4'!$F$107:$F$206,MATCH($A41,'4'!$C$107:$C$206,0)),""),IFERROR(INDEX('5'!$F$107:$F$206,MATCH($A41,'5'!$C$107:$C$206,0)),"")))))</f>
        <v/>
      </c>
      <c r="C41" s="24">
        <f>IF($A41="","",IFERROR(INDEX(Barneveld!$A$40:$A$139,MATCH($A41,Barneveld!$C$40:$C$139,0)),""))</f>
        <v>23</v>
      </c>
      <c r="D41" s="15">
        <f>IF($A41="",0,IFERROR(INDEX(Barneveld!$H$40:$H$139,MATCH($A41,Barneveld!$C$40:$C$139,0)),0))</f>
        <v>16</v>
      </c>
      <c r="E41" s="24" t="str">
        <f>""</f>
        <v/>
      </c>
      <c r="F41" s="15">
        <f>0</f>
        <v>0</v>
      </c>
      <c r="G41" s="24" t="str">
        <f>IF($A41="","",IFERROR(INDEX(Scherpenzeel!$A$107:$A$206,MATCH($A41,Scherpenzeel!$C$107:$C$206,0)),""))</f>
        <v/>
      </c>
      <c r="H41" s="15">
        <f>IF($A41="",0,IFERROR(INDEX(Scherpenzeel!$I$107:$I$206,MATCH($A41,Scherpenzeel!$C$107:$C$206,0)),0))</f>
        <v>0</v>
      </c>
      <c r="I41" s="24" t="str">
        <f>IF($A41="","",IFERROR(INDEX('4'!$A$107:$A$206,MATCH($A41,'4'!$C$107:$C$206,0)),""))</f>
        <v/>
      </c>
      <c r="J41" s="15">
        <f>IF($A41="",0,IFERROR(INDEX('4'!$I$107:$I$206,MATCH($A41,'4'!$C$107:$C$206,0)),0))</f>
        <v>0</v>
      </c>
      <c r="K41" s="24" t="str">
        <f>IF($A41="","",IFERROR(INDEX('5'!$A$107:$A$206,MATCH($A41,'5'!$C$107:$C$206,0)),""))</f>
        <v/>
      </c>
      <c r="L41" s="15">
        <f>IF($A41="",0,IFERROR(INDEX('5'!$I$107:$I$206,MATCH($A41,'5'!$C$107:$C$206,0)),0))</f>
        <v>0</v>
      </c>
      <c r="M41" s="25">
        <f>IF($A41="","",D41+F41+H41+J41+L41)</f>
        <v>16</v>
      </c>
      <c r="N41" s="26">
        <f>IF(OR($A41="",M41="",M41=0),"",RANK(M41,$M$4:$M$203,0))</f>
        <v>38</v>
      </c>
      <c r="AA41">
        <f>Barneveld!C80</f>
        <v>0</v>
      </c>
      <c r="AB41">
        <f>IF(AA41="",0,IF(COUNTIF($AA$1:AA41,AA41)=1,1,0))</f>
        <v>0</v>
      </c>
      <c r="AC41" t="str">
        <f>IF(AB41=1,COUNTIF($AB$1:AB41,1),"")</f>
        <v/>
      </c>
    </row>
    <row r="42" spans="1:29" x14ac:dyDescent="0.25">
      <c r="A42" s="13" t="str">
        <f>IFERROR(INDEX($AA$1:$AA$400,MATCH(24,$AC$1:$AC$400,0)),"")</f>
        <v>Michiel Brul</v>
      </c>
      <c r="B42" s="13" t="str">
        <f>IF($A42="","",IF(IFERROR(INDEX(Barneveld!$E$40:$E$139,MATCH($A42,Barneveld!$C$40:$C$139,0)),"")&lt;&gt;"",IFERROR(INDEX(Barneveld!$E$40:$E$139,MATCH($A42,Barneveld!$C$40:$C$139,0)),""),IF(IFERROR(INDEX(Scherpenzeel!$F$107:$F$206,MATCH($A42,Scherpenzeel!$C$107:$C$206,0)),"")&lt;&gt;"",IFERROR(INDEX(Scherpenzeel!$F$107:$F$206,MATCH($A42,Scherpenzeel!$C$107:$C$206,0)),""),IF(IFERROR(INDEX('4'!$F$107:$F$206,MATCH($A42,'4'!$C$107:$C$206,0)),"")&lt;&gt;"",IFERROR(INDEX('4'!$F$107:$F$206,MATCH($A42,'4'!$C$107:$C$206,0)),""),IFERROR(INDEX('5'!$F$107:$F$206,MATCH($A42,'5'!$C$107:$C$206,0)),"")))))</f>
        <v/>
      </c>
      <c r="C42" s="24">
        <f>IF($A42="","",IFERROR(INDEX(Barneveld!$A$40:$A$139,MATCH($A42,Barneveld!$C$40:$C$139,0)),""))</f>
        <v>24</v>
      </c>
      <c r="D42" s="15">
        <f>IF($A42="",0,IFERROR(INDEX(Barneveld!$H$40:$H$139,MATCH($A42,Barneveld!$C$40:$C$139,0)),0))</f>
        <v>14</v>
      </c>
      <c r="E42" s="24" t="str">
        <f>""</f>
        <v/>
      </c>
      <c r="F42" s="15">
        <f>0</f>
        <v>0</v>
      </c>
      <c r="G42" s="24" t="str">
        <f>IF($A42="","",IFERROR(INDEX(Scherpenzeel!$A$107:$A$206,MATCH($A42,Scherpenzeel!$C$107:$C$206,0)),""))</f>
        <v/>
      </c>
      <c r="H42" s="15">
        <f>IF($A42="",0,IFERROR(INDEX(Scherpenzeel!$I$107:$I$206,MATCH($A42,Scherpenzeel!$C$107:$C$206,0)),0))</f>
        <v>0</v>
      </c>
      <c r="I42" s="24" t="str">
        <f>IF($A42="","",IFERROR(INDEX('4'!$A$107:$A$206,MATCH($A42,'4'!$C$107:$C$206,0)),""))</f>
        <v/>
      </c>
      <c r="J42" s="15">
        <f>IF($A42="",0,IFERROR(INDEX('4'!$I$107:$I$206,MATCH($A42,'4'!$C$107:$C$206,0)),0))</f>
        <v>0</v>
      </c>
      <c r="K42" s="24" t="str">
        <f>IF($A42="","",IFERROR(INDEX('5'!$A$107:$A$206,MATCH($A42,'5'!$C$107:$C$206,0)),""))</f>
        <v/>
      </c>
      <c r="L42" s="15">
        <f>IF($A42="",0,IFERROR(INDEX('5'!$I$107:$I$206,MATCH($A42,'5'!$C$107:$C$206,0)),0))</f>
        <v>0</v>
      </c>
      <c r="M42" s="25">
        <f>IF($A42="","",D42+F42+H42+J42+L42)</f>
        <v>14</v>
      </c>
      <c r="N42" s="26">
        <f>IF(OR($A42="",M42="",M42=0),"",RANK(M42,$M$4:$M$203,0))</f>
        <v>39</v>
      </c>
      <c r="AA42">
        <f>Barneveld!C81</f>
        <v>0</v>
      </c>
      <c r="AB42">
        <f>IF(AA42="",0,IF(COUNTIF($AA$1:AA42,AA42)=1,1,0))</f>
        <v>0</v>
      </c>
      <c r="AC42" t="str">
        <f>IF(AB42=1,COUNTIF($AB$1:AB42,1),"")</f>
        <v/>
      </c>
    </row>
    <row r="43" spans="1:29" x14ac:dyDescent="0.25">
      <c r="A43" s="13" t="str">
        <f>IFERROR(INDEX($AA$1:$AA$400,MATCH(25,$AC$1:$AC$400,0)),"")</f>
        <v>Erwin van Veenschoten</v>
      </c>
      <c r="B43" s="13" t="str">
        <f>IF($A43="","",IF(IFERROR(INDEX(Barneveld!$E$40:$E$139,MATCH($A43,Barneveld!$C$40:$C$139,0)),"")&lt;&gt;"",IFERROR(INDEX(Barneveld!$E$40:$E$139,MATCH($A43,Barneveld!$C$40:$C$139,0)),""),IF(IFERROR(INDEX(Scherpenzeel!$F$107:$F$206,MATCH($A43,Scherpenzeel!$C$107:$C$206,0)),"")&lt;&gt;"",IFERROR(INDEX(Scherpenzeel!$F$107:$F$206,MATCH($A43,Scherpenzeel!$C$107:$C$206,0)),""),IF(IFERROR(INDEX('4'!$F$107:$F$206,MATCH($A43,'4'!$C$107:$C$206,0)),"")&lt;&gt;"",IFERROR(INDEX('4'!$F$107:$F$206,MATCH($A43,'4'!$C$107:$C$206,0)),""),IFERROR(INDEX('5'!$F$107:$F$206,MATCH($A43,'5'!$C$107:$C$206,0)),"")))))</f>
        <v/>
      </c>
      <c r="C43" s="24">
        <f>IF($A43="","",IFERROR(INDEX(Barneveld!$A$40:$A$139,MATCH($A43,Barneveld!$C$40:$C$139,0)),""))</f>
        <v>25</v>
      </c>
      <c r="D43" s="15">
        <f>IF($A43="",0,IFERROR(INDEX(Barneveld!$H$40:$H$139,MATCH($A43,Barneveld!$C$40:$C$139,0)),0))</f>
        <v>12</v>
      </c>
      <c r="E43" s="24" t="str">
        <f>""</f>
        <v/>
      </c>
      <c r="F43" s="15">
        <f>0</f>
        <v>0</v>
      </c>
      <c r="G43" s="24" t="str">
        <f>IF($A43="","",IFERROR(INDEX(Scherpenzeel!$A$107:$A$206,MATCH($A43,Scherpenzeel!$C$107:$C$206,0)),""))</f>
        <v/>
      </c>
      <c r="H43" s="15">
        <f>IF($A43="",0,IFERROR(INDEX(Scherpenzeel!$I$107:$I$206,MATCH($A43,Scherpenzeel!$C$107:$C$206,0)),0))</f>
        <v>0</v>
      </c>
      <c r="I43" s="24" t="str">
        <f>IF($A43="","",IFERROR(INDEX('4'!$A$107:$A$206,MATCH($A43,'4'!$C$107:$C$206,0)),""))</f>
        <v/>
      </c>
      <c r="J43" s="15">
        <f>IF($A43="",0,IFERROR(INDEX('4'!$I$107:$I$206,MATCH($A43,'4'!$C$107:$C$206,0)),0))</f>
        <v>0</v>
      </c>
      <c r="K43" s="24" t="str">
        <f>IF($A43="","",IFERROR(INDEX('5'!$A$107:$A$206,MATCH($A43,'5'!$C$107:$C$206,0)),""))</f>
        <v/>
      </c>
      <c r="L43" s="15">
        <f>IF($A43="",0,IFERROR(INDEX('5'!$I$107:$I$206,MATCH($A43,'5'!$C$107:$C$206,0)),0))</f>
        <v>0</v>
      </c>
      <c r="M43" s="25">
        <f>IF($A43="","",D43+F43+H43+J43+L43)</f>
        <v>12</v>
      </c>
      <c r="N43" s="26">
        <f>IF(OR($A43="",M43="",M43=0),"",RANK(M43,$M$4:$M$203,0))</f>
        <v>40</v>
      </c>
      <c r="AA43">
        <f>Barneveld!C82</f>
        <v>0</v>
      </c>
      <c r="AB43">
        <f>IF(AA43="",0,IF(COUNTIF($AA$1:AA43,AA43)=1,1,0))</f>
        <v>0</v>
      </c>
      <c r="AC43" t="str">
        <f>IF(AB43=1,COUNTIF($AB$1:AB43,1),"")</f>
        <v/>
      </c>
    </row>
    <row r="44" spans="1:29" x14ac:dyDescent="0.25">
      <c r="A44" s="13" t="str">
        <f>IFERROR(INDEX($AA$1:$AA$400,MATCH(26,$AC$1:$AC$400,0)),"")</f>
        <v>Nathan Bakkenes</v>
      </c>
      <c r="B44" s="13" t="str">
        <f>IF($A44="","",IF(IFERROR(INDEX(Barneveld!$E$40:$E$139,MATCH($A44,Barneveld!$C$40:$C$139,0)),"")&lt;&gt;"",IFERROR(INDEX(Barneveld!$E$40:$E$139,MATCH($A44,Barneveld!$C$40:$C$139,0)),""),IF(IFERROR(INDEX(Scherpenzeel!$F$107:$F$206,MATCH($A44,Scherpenzeel!$C$107:$C$206,0)),"")&lt;&gt;"",IFERROR(INDEX(Scherpenzeel!$F$107:$F$206,MATCH($A44,Scherpenzeel!$C$107:$C$206,0)),""),IF(IFERROR(INDEX('4'!$F$107:$F$206,MATCH($A44,'4'!$C$107:$C$206,0)),"")&lt;&gt;"",IFERROR(INDEX('4'!$F$107:$F$206,MATCH($A44,'4'!$C$107:$C$206,0)),""),IFERROR(INDEX('5'!$F$107:$F$206,MATCH($A44,'5'!$C$107:$C$206,0)),"")))))</f>
        <v/>
      </c>
      <c r="C44" s="24">
        <f>IF($A44="","",IFERROR(INDEX(Barneveld!$A$40:$A$139,MATCH($A44,Barneveld!$C$40:$C$139,0)),""))</f>
        <v>26</v>
      </c>
      <c r="D44" s="15">
        <f>IF($A44="",0,IFERROR(INDEX(Barneveld!$H$40:$H$139,MATCH($A44,Barneveld!$C$40:$C$139,0)),0))</f>
        <v>10</v>
      </c>
      <c r="E44" s="24" t="str">
        <f>""</f>
        <v/>
      </c>
      <c r="F44" s="15">
        <f>0</f>
        <v>0</v>
      </c>
      <c r="G44" s="24" t="str">
        <f>IF($A44="","",IFERROR(INDEX(Scherpenzeel!$A$107:$A$206,MATCH($A44,Scherpenzeel!$C$107:$C$206,0)),""))</f>
        <v/>
      </c>
      <c r="H44" s="15">
        <f>IF($A44="",0,IFERROR(INDEX(Scherpenzeel!$I$107:$I$206,MATCH($A44,Scherpenzeel!$C$107:$C$206,0)),0))</f>
        <v>0</v>
      </c>
      <c r="I44" s="24" t="str">
        <f>IF($A44="","",IFERROR(INDEX('4'!$A$107:$A$206,MATCH($A44,'4'!$C$107:$C$206,0)),""))</f>
        <v/>
      </c>
      <c r="J44" s="15">
        <f>IF($A44="",0,IFERROR(INDEX('4'!$I$107:$I$206,MATCH($A44,'4'!$C$107:$C$206,0)),0))</f>
        <v>0</v>
      </c>
      <c r="K44" s="24" t="str">
        <f>IF($A44="","",IFERROR(INDEX('5'!$A$107:$A$206,MATCH($A44,'5'!$C$107:$C$206,0)),""))</f>
        <v/>
      </c>
      <c r="L44" s="15">
        <f>IF($A44="",0,IFERROR(INDEX('5'!$I$107:$I$206,MATCH($A44,'5'!$C$107:$C$206,0)),0))</f>
        <v>0</v>
      </c>
      <c r="M44" s="25">
        <f>IF($A44="","",D44+F44+H44+J44+L44)</f>
        <v>10</v>
      </c>
      <c r="N44" s="26">
        <f>IF(OR($A44="",M44="",M44=0),"",RANK(M44,$M$4:$M$203,0))</f>
        <v>41</v>
      </c>
      <c r="AA44">
        <f>Barneveld!C83</f>
        <v>0</v>
      </c>
      <c r="AB44">
        <f>IF(AA44="",0,IF(COUNTIF($AA$1:AA44,AA44)=1,1,0))</f>
        <v>0</v>
      </c>
      <c r="AC44" t="str">
        <f>IF(AB44=1,COUNTIF($AB$1:AB44,1),"")</f>
        <v/>
      </c>
    </row>
    <row r="45" spans="1:29" x14ac:dyDescent="0.25">
      <c r="A45" s="13" t="str">
        <f>IFERROR(INDEX($AA$1:$AA$400,MATCH(27,$AC$1:$AC$400,0)),"")</f>
        <v>Marcel Ekkel</v>
      </c>
      <c r="B45" s="13" t="str">
        <f>IF($A45="","",IF(IFERROR(INDEX(Barneveld!$E$40:$E$139,MATCH($A45,Barneveld!$C$40:$C$139,0)),"")&lt;&gt;"",IFERROR(INDEX(Barneveld!$E$40:$E$139,MATCH($A45,Barneveld!$C$40:$C$139,0)),""),IF(IFERROR(INDEX(Scherpenzeel!$F$107:$F$206,MATCH($A45,Scherpenzeel!$C$107:$C$206,0)),"")&lt;&gt;"",IFERROR(INDEX(Scherpenzeel!$F$107:$F$206,MATCH($A45,Scherpenzeel!$C$107:$C$206,0)),""),IF(IFERROR(INDEX('4'!$F$107:$F$206,MATCH($A45,'4'!$C$107:$C$206,0)),"")&lt;&gt;"",IFERROR(INDEX('4'!$F$107:$F$206,MATCH($A45,'4'!$C$107:$C$206,0)),""),IFERROR(INDEX('5'!$F$107:$F$206,MATCH($A45,'5'!$C$107:$C$206,0)),"")))))</f>
        <v/>
      </c>
      <c r="C45" s="24">
        <f>IF($A45="","",IFERROR(INDEX(Barneveld!$A$40:$A$139,MATCH($A45,Barneveld!$C$40:$C$139,0)),""))</f>
        <v>27</v>
      </c>
      <c r="D45" s="15">
        <f>IF($A45="",0,IFERROR(INDEX(Barneveld!$H$40:$H$139,MATCH($A45,Barneveld!$C$40:$C$139,0)),0))</f>
        <v>8</v>
      </c>
      <c r="E45" s="24" t="str">
        <f>""</f>
        <v/>
      </c>
      <c r="F45" s="15">
        <f>0</f>
        <v>0</v>
      </c>
      <c r="G45" s="24" t="str">
        <f>IF($A45="","",IFERROR(INDEX(Scherpenzeel!$A$107:$A$206,MATCH($A45,Scherpenzeel!$C$107:$C$206,0)),""))</f>
        <v/>
      </c>
      <c r="H45" s="15">
        <f>IF($A45="",0,IFERROR(INDEX(Scherpenzeel!$I$107:$I$206,MATCH($A45,Scherpenzeel!$C$107:$C$206,0)),0))</f>
        <v>0</v>
      </c>
      <c r="I45" s="24" t="str">
        <f>IF($A45="","",IFERROR(INDEX('4'!$A$107:$A$206,MATCH($A45,'4'!$C$107:$C$206,0)),""))</f>
        <v/>
      </c>
      <c r="J45" s="15">
        <f>IF($A45="",0,IFERROR(INDEX('4'!$I$107:$I$206,MATCH($A45,'4'!$C$107:$C$206,0)),0))</f>
        <v>0</v>
      </c>
      <c r="K45" s="24" t="str">
        <f>IF($A45="","",IFERROR(INDEX('5'!$A$107:$A$206,MATCH($A45,'5'!$C$107:$C$206,0)),""))</f>
        <v/>
      </c>
      <c r="L45" s="15">
        <f>IF($A45="",0,IFERROR(INDEX('5'!$I$107:$I$206,MATCH($A45,'5'!$C$107:$C$206,0)),0))</f>
        <v>0</v>
      </c>
      <c r="M45" s="25">
        <f>IF($A45="","",D45+F45+H45+J45+L45)</f>
        <v>8</v>
      </c>
      <c r="N45" s="26">
        <f>IF(OR($A45="",M45="",M45=0),"",RANK(M45,$M$4:$M$203,0))</f>
        <v>42</v>
      </c>
      <c r="AA45">
        <f>Barneveld!C84</f>
        <v>0</v>
      </c>
      <c r="AB45">
        <f>IF(AA45="",0,IF(COUNTIF($AA$1:AA45,AA45)=1,1,0))</f>
        <v>0</v>
      </c>
      <c r="AC45" t="str">
        <f>IF(AB45=1,COUNTIF($AB$1:AB45,1),"")</f>
        <v/>
      </c>
    </row>
    <row r="46" spans="1:29" x14ac:dyDescent="0.25">
      <c r="A46" s="13" t="str">
        <f>IFERROR(INDEX($AA$1:$AA$400,MATCH(28,$AC$1:$AC$400,0)),"")</f>
        <v>Marlene de Ruiter</v>
      </c>
      <c r="B46" s="13" t="str">
        <f>IF($A46="","",IF(IFERROR(INDEX(Barneveld!$E$40:$E$139,MATCH($A46,Barneveld!$C$40:$C$139,0)),"")&lt;&gt;"",IFERROR(INDEX(Barneveld!$E$40:$E$139,MATCH($A46,Barneveld!$C$40:$C$139,0)),""),IF(IFERROR(INDEX(Scherpenzeel!$F$107:$F$206,MATCH($A46,Scherpenzeel!$C$107:$C$206,0)),"")&lt;&gt;"",IFERROR(INDEX(Scherpenzeel!$F$107:$F$206,MATCH($A46,Scherpenzeel!$C$107:$C$206,0)),""),IF(IFERROR(INDEX('4'!$F$107:$F$206,MATCH($A46,'4'!$C$107:$C$206,0)),"")&lt;&gt;"",IFERROR(INDEX('4'!$F$107:$F$206,MATCH($A46,'4'!$C$107:$C$206,0)),""),IFERROR(INDEX('5'!$F$107:$F$206,MATCH($A46,'5'!$C$107:$C$206,0)),"")))))</f>
        <v/>
      </c>
      <c r="C46" s="24">
        <f>IF($A46="","",IFERROR(INDEX(Barneveld!$A$40:$A$139,MATCH($A46,Barneveld!$C$40:$C$139,0)),""))</f>
        <v>28</v>
      </c>
      <c r="D46" s="15">
        <f>IF($A46="",0,IFERROR(INDEX(Barneveld!$H$40:$H$139,MATCH($A46,Barneveld!$C$40:$C$139,0)),0))</f>
        <v>6</v>
      </c>
      <c r="E46" s="24" t="str">
        <f>""</f>
        <v/>
      </c>
      <c r="F46" s="15">
        <f>0</f>
        <v>0</v>
      </c>
      <c r="G46" s="24" t="str">
        <f>IF($A46="","",IFERROR(INDEX(Scherpenzeel!$A$107:$A$206,MATCH($A46,Scherpenzeel!$C$107:$C$206,0)),""))</f>
        <v/>
      </c>
      <c r="H46" s="15">
        <f>IF($A46="",0,IFERROR(INDEX(Scherpenzeel!$I$107:$I$206,MATCH($A46,Scherpenzeel!$C$107:$C$206,0)),0))</f>
        <v>0</v>
      </c>
      <c r="I46" s="24" t="str">
        <f>IF($A46="","",IFERROR(INDEX('4'!$A$107:$A$206,MATCH($A46,'4'!$C$107:$C$206,0)),""))</f>
        <v/>
      </c>
      <c r="J46" s="15">
        <f>IF($A46="",0,IFERROR(INDEX('4'!$I$107:$I$206,MATCH($A46,'4'!$C$107:$C$206,0)),0))</f>
        <v>0</v>
      </c>
      <c r="K46" s="24" t="str">
        <f>IF($A46="","",IFERROR(INDEX('5'!$A$107:$A$206,MATCH($A46,'5'!$C$107:$C$206,0)),""))</f>
        <v/>
      </c>
      <c r="L46" s="15">
        <f>IF($A46="",0,IFERROR(INDEX('5'!$I$107:$I$206,MATCH($A46,'5'!$C$107:$C$206,0)),0))</f>
        <v>0</v>
      </c>
      <c r="M46" s="25">
        <f>IF($A46="","",D46+F46+H46+J46+L46)</f>
        <v>6</v>
      </c>
      <c r="N46" s="26">
        <f>IF(OR($A46="",M46="",M46=0),"",RANK(M46,$M$4:$M$203,0))</f>
        <v>43</v>
      </c>
      <c r="AA46">
        <f>Barneveld!C85</f>
        <v>0</v>
      </c>
      <c r="AB46">
        <f>IF(AA46="",0,IF(COUNTIF($AA$1:AA46,AA46)=1,1,0))</f>
        <v>0</v>
      </c>
      <c r="AC46" t="str">
        <f>IF(AB46=1,COUNTIF($AB$1:AB46,1),"")</f>
        <v/>
      </c>
    </row>
    <row r="47" spans="1:29" x14ac:dyDescent="0.25">
      <c r="A47" s="13" t="str">
        <f>IFERROR(INDEX($AA$1:$AA$400,MATCH(29,$AC$1:$AC$400,0)),"")</f>
        <v>Maas van Beek</v>
      </c>
      <c r="B47" s="13" t="str">
        <f>IF($A47="","",IF(IFERROR(INDEX(Barneveld!$E$40:$E$139,MATCH($A47,Barneveld!$C$40:$C$139,0)),"")&lt;&gt;"",IFERROR(INDEX(Barneveld!$E$40:$E$139,MATCH($A47,Barneveld!$C$40:$C$139,0)),""),IF(IFERROR(INDEX(Scherpenzeel!$F$107:$F$206,MATCH($A47,Scherpenzeel!$C$107:$C$206,0)),"")&lt;&gt;"",IFERROR(INDEX(Scherpenzeel!$F$107:$F$206,MATCH($A47,Scherpenzeel!$C$107:$C$206,0)),""),IF(IFERROR(INDEX('4'!$F$107:$F$206,MATCH($A47,'4'!$C$107:$C$206,0)),"")&lt;&gt;"",IFERROR(INDEX('4'!$F$107:$F$206,MATCH($A47,'4'!$C$107:$C$206,0)),""),IFERROR(INDEX('5'!$F$107:$F$206,MATCH($A47,'5'!$C$107:$C$206,0)),"")))))</f>
        <v/>
      </c>
      <c r="C47" s="24" t="str">
        <f>IF($A47="","",IFERROR(INDEX(Barneveld!$A$40:$A$139,MATCH($A47,Barneveld!$C$40:$C$139,0)),""))</f>
        <v>DNF</v>
      </c>
      <c r="D47" s="15">
        <f>IF($A47="",0,IFERROR(INDEX(Barneveld!$H$40:$H$139,MATCH($A47,Barneveld!$C$40:$C$139,0)),0))</f>
        <v>1</v>
      </c>
      <c r="E47" s="24" t="str">
        <f>""</f>
        <v/>
      </c>
      <c r="F47" s="15">
        <f>0</f>
        <v>0</v>
      </c>
      <c r="G47" s="24" t="str">
        <f>IF($A47="","",IFERROR(INDEX(Scherpenzeel!$A$107:$A$206,MATCH($A47,Scherpenzeel!$C$107:$C$206,0)),""))</f>
        <v/>
      </c>
      <c r="H47" s="15">
        <f>IF($A47="",0,IFERROR(INDEX(Scherpenzeel!$I$107:$I$206,MATCH($A47,Scherpenzeel!$C$107:$C$206,0)),0))</f>
        <v>0</v>
      </c>
      <c r="I47" s="24" t="str">
        <f>IF($A47="","",IFERROR(INDEX('4'!$A$107:$A$206,MATCH($A47,'4'!$C$107:$C$206,0)),""))</f>
        <v/>
      </c>
      <c r="J47" s="15">
        <f>IF($A47="",0,IFERROR(INDEX('4'!$I$107:$I$206,MATCH($A47,'4'!$C$107:$C$206,0)),0))</f>
        <v>0</v>
      </c>
      <c r="K47" s="24" t="str">
        <f>IF($A47="","",IFERROR(INDEX('5'!$A$107:$A$206,MATCH($A47,'5'!$C$107:$C$206,0)),""))</f>
        <v/>
      </c>
      <c r="L47" s="15">
        <f>IF($A47="",0,IFERROR(INDEX('5'!$I$107:$I$206,MATCH($A47,'5'!$C$107:$C$206,0)),0))</f>
        <v>0</v>
      </c>
      <c r="M47" s="25">
        <f>IF($A47="","",D47+F47+H47+J47+L47)</f>
        <v>1</v>
      </c>
      <c r="N47" s="26">
        <f>IF(OR($A47="",M47="",M47=0),"",RANK(M47,$M$4:$M$203,0))</f>
        <v>44</v>
      </c>
      <c r="AA47">
        <f>Barneveld!C86</f>
        <v>0</v>
      </c>
      <c r="AB47">
        <f>IF(AA47="",0,IF(COUNTIF($AA$1:AA47,AA47)=1,1,0))</f>
        <v>0</v>
      </c>
      <c r="AC47" t="str">
        <f>IF(AB47=1,COUNTIF($AB$1:AB47,1),"")</f>
        <v/>
      </c>
    </row>
    <row r="48" spans="1:29" x14ac:dyDescent="0.25">
      <c r="A48" s="13" t="str">
        <f>IFERROR(INDEX($AA$1:$AA$400,MATCH(46,$AC$1:$AC$400,0)),"")</f>
        <v>Niels de Graaff</v>
      </c>
      <c r="B48" s="13" t="str">
        <f>IF($A48="","",IF(IFERROR(INDEX(Barneveld!$E$40:$E$139,MATCH($A48,Barneveld!$C$40:$C$139,0)),"")&lt;&gt;"",IFERROR(INDEX(Barneveld!$E$40:$E$139,MATCH($A48,Barneveld!$C$40:$C$139,0)),""),IF(IFERROR(INDEX(Scherpenzeel!$F$107:$F$206,MATCH($A48,Scherpenzeel!$C$107:$C$206,0)),"")&lt;&gt;"",IFERROR(INDEX(Scherpenzeel!$F$107:$F$206,MATCH($A48,Scherpenzeel!$C$107:$C$206,0)),""),IF(IFERROR(INDEX('4'!$F$107:$F$206,MATCH($A48,'4'!$C$107:$C$206,0)),"")&lt;&gt;"",IFERROR(INDEX('4'!$F$107:$F$206,MATCH($A48,'4'!$C$107:$C$206,0)),""),IFERROR(INDEX('5'!$F$107:$F$206,MATCH($A48,'5'!$C$107:$C$206,0)),"")))))</f>
        <v>A.S.S.W.S.V. SKITS</v>
      </c>
      <c r="C48" s="24" t="str">
        <f>IF($A48="","",IFERROR(INDEX(Barneveld!$A$40:$A$139,MATCH($A48,Barneveld!$C$40:$C$139,0)),""))</f>
        <v/>
      </c>
      <c r="D48" s="15">
        <f>IF($A48="",0,IFERROR(INDEX(Barneveld!$H$40:$H$139,MATCH($A48,Barneveld!$C$40:$C$139,0)),0))</f>
        <v>0</v>
      </c>
      <c r="E48" s="24" t="str">
        <f>""</f>
        <v/>
      </c>
      <c r="F48" s="15">
        <f>0</f>
        <v>0</v>
      </c>
      <c r="G48" s="24" t="str">
        <f>IF($A48="","",IFERROR(INDEX(Scherpenzeel!$A$107:$A$206,MATCH($A48,Scherpenzeel!$C$107:$C$206,0)),""))</f>
        <v>DNF</v>
      </c>
      <c r="H48" s="15">
        <f>IF($A48="",0,IFERROR(INDEX(Scherpenzeel!$I$107:$I$206,MATCH($A48,Scherpenzeel!$C$107:$C$206,0)),0))</f>
        <v>1</v>
      </c>
      <c r="I48" s="24" t="str">
        <f>IF($A48="","",IFERROR(INDEX('4'!$A$107:$A$206,MATCH($A48,'4'!$C$107:$C$206,0)),""))</f>
        <v/>
      </c>
      <c r="J48" s="15">
        <f>IF($A48="",0,IFERROR(INDEX('4'!$I$107:$I$206,MATCH($A48,'4'!$C$107:$C$206,0)),0))</f>
        <v>0</v>
      </c>
      <c r="K48" s="24" t="str">
        <f>IF($A48="","",IFERROR(INDEX('5'!$A$107:$A$206,MATCH($A48,'5'!$C$107:$C$206,0)),""))</f>
        <v/>
      </c>
      <c r="L48" s="15">
        <f>IF($A48="",0,IFERROR(INDEX('5'!$I$107:$I$206,MATCH($A48,'5'!$C$107:$C$206,0)),0))</f>
        <v>0</v>
      </c>
      <c r="M48" s="25">
        <f>IF($A48="","",D48+F48+H48+J48+L48)</f>
        <v>1</v>
      </c>
      <c r="N48" s="26">
        <f>IF(OR($A48="",M48="",M48=0),"",RANK(M48,$M$4:$M$203,0))</f>
        <v>44</v>
      </c>
      <c r="AA48">
        <f>Barneveld!C87</f>
        <v>0</v>
      </c>
      <c r="AB48">
        <f>IF(AA48="",0,IF(COUNTIF($AA$1:AA48,AA48)=1,1,0))</f>
        <v>0</v>
      </c>
      <c r="AC48" t="str">
        <f>IF(AB48=1,COUNTIF($AB$1:AB48,1),"")</f>
        <v/>
      </c>
    </row>
    <row r="49" spans="1:29" x14ac:dyDescent="0.25">
      <c r="A49" s="13" t="str">
        <f>IFERROR(INDEX($AA$1:$AA$400,MATCH(47,$AC$1:$AC$400,0)),"")</f>
        <v>Aron Vink</v>
      </c>
      <c r="B49" s="13" t="str">
        <f>IF($A49="","",IF(IFERROR(INDEX(Barneveld!$E$40:$E$139,MATCH($A49,Barneveld!$C$40:$C$139,0)),"")&lt;&gt;"",IFERROR(INDEX(Barneveld!$E$40:$E$139,MATCH($A49,Barneveld!$C$40:$C$139,0)),""),IF(IFERROR(INDEX(Scherpenzeel!$F$107:$F$206,MATCH($A49,Scherpenzeel!$C$107:$C$206,0)),"")&lt;&gt;"",IFERROR(INDEX(Scherpenzeel!$F$107:$F$206,MATCH($A49,Scherpenzeel!$C$107:$C$206,0)),""),IF(IFERROR(INDEX('4'!$F$107:$F$206,MATCH($A49,'4'!$C$107:$C$206,0)),"")&lt;&gt;"",IFERROR(INDEX('4'!$F$107:$F$206,MATCH($A49,'4'!$C$107:$C$206,0)),""),IFERROR(INDEX('5'!$F$107:$F$206,MATCH($A49,'5'!$C$107:$C$206,0)),"")))))</f>
        <v>KNWU</v>
      </c>
      <c r="C49" s="24" t="str">
        <f>IF($A49="","",IFERROR(INDEX(Barneveld!$A$40:$A$139,MATCH($A49,Barneveld!$C$40:$C$139,0)),""))</f>
        <v/>
      </c>
      <c r="D49" s="15">
        <f>IF($A49="",0,IFERROR(INDEX(Barneveld!$H$40:$H$139,MATCH($A49,Barneveld!$C$40:$C$139,0)),0))</f>
        <v>0</v>
      </c>
      <c r="E49" s="24" t="str">
        <f>""</f>
        <v/>
      </c>
      <c r="F49" s="15">
        <f>0</f>
        <v>0</v>
      </c>
      <c r="G49" s="24" t="str">
        <f>IF($A49="","",IFERROR(INDEX(Scherpenzeel!$A$107:$A$206,MATCH($A49,Scherpenzeel!$C$107:$C$206,0)),""))</f>
        <v>DNF</v>
      </c>
      <c r="H49" s="15">
        <f>IF($A49="",0,IFERROR(INDEX(Scherpenzeel!$I$107:$I$206,MATCH($A49,Scherpenzeel!$C$107:$C$206,0)),0))</f>
        <v>1</v>
      </c>
      <c r="I49" s="24" t="str">
        <f>IF($A49="","",IFERROR(INDEX('4'!$A$107:$A$206,MATCH($A49,'4'!$C$107:$C$206,0)),""))</f>
        <v/>
      </c>
      <c r="J49" s="15">
        <f>IF($A49="",0,IFERROR(INDEX('4'!$I$107:$I$206,MATCH($A49,'4'!$C$107:$C$206,0)),0))</f>
        <v>0</v>
      </c>
      <c r="K49" s="24" t="str">
        <f>IF($A49="","",IFERROR(INDEX('5'!$A$107:$A$206,MATCH($A49,'5'!$C$107:$C$206,0)),""))</f>
        <v/>
      </c>
      <c r="L49" s="15">
        <f>IF($A49="",0,IFERROR(INDEX('5'!$I$107:$I$206,MATCH($A49,'5'!$C$107:$C$206,0)),0))</f>
        <v>0</v>
      </c>
      <c r="M49" s="25">
        <f>IF($A49="","",D49+F49+H49+J49+L49)</f>
        <v>1</v>
      </c>
      <c r="N49" s="26">
        <f>IF(OR($A49="",M49="",M49=0),"",RANK(M49,$M$4:$M$203,0))</f>
        <v>44</v>
      </c>
      <c r="AA49">
        <f>Barneveld!C88</f>
        <v>0</v>
      </c>
      <c r="AB49">
        <f>IF(AA49="",0,IF(COUNTIF($AA$1:AA49,AA49)=1,1,0))</f>
        <v>0</v>
      </c>
      <c r="AC49" t="str">
        <f>IF(AB49=1,COUNTIF($AB$1:AB49,1),"")</f>
        <v/>
      </c>
    </row>
    <row r="50" spans="1:29" x14ac:dyDescent="0.25">
      <c r="A50" s="13" t="str">
        <f>IFERROR(INDEX($AA$1:$AA$400,MATCH(48,$AC$1:$AC$400,0)),"")</f>
        <v>Ralph Valkonet</v>
      </c>
      <c r="B50" s="13" t="str">
        <f>IF($A50="","",IF(IFERROR(INDEX(Barneveld!$E$40:$E$139,MATCH($A50,Barneveld!$C$40:$C$139,0)),"")&lt;&gt;"",IFERROR(INDEX(Barneveld!$E$40:$E$139,MATCH($A50,Barneveld!$C$40:$C$139,0)),""),IF(IFERROR(INDEX(Scherpenzeel!$F$107:$F$206,MATCH($A50,Scherpenzeel!$C$107:$C$206,0)),"")&lt;&gt;"",IFERROR(INDEX(Scherpenzeel!$F$107:$F$206,MATCH($A50,Scherpenzeel!$C$107:$C$206,0)),""),IF(IFERROR(INDEX('4'!$F$107:$F$206,MATCH($A50,'4'!$C$107:$C$206,0)),"")&lt;&gt;"",IFERROR(INDEX('4'!$F$107:$F$206,MATCH($A50,'4'!$C$107:$C$206,0)),""),IFERROR(INDEX('5'!$F$107:$F$206,MATCH($A50,'5'!$C$107:$C$206,0)),"")))))</f>
        <v>GWC de Adelaar</v>
      </c>
      <c r="C50" s="24" t="str">
        <f>IF($A50="","",IFERROR(INDEX(Barneveld!$A$40:$A$139,MATCH($A50,Barneveld!$C$40:$C$139,0)),""))</f>
        <v/>
      </c>
      <c r="D50" s="15">
        <f>IF($A50="",0,IFERROR(INDEX(Barneveld!$H$40:$H$139,MATCH($A50,Barneveld!$C$40:$C$139,0)),0))</f>
        <v>0</v>
      </c>
      <c r="E50" s="24" t="str">
        <f>""</f>
        <v/>
      </c>
      <c r="F50" s="15">
        <f>0</f>
        <v>0</v>
      </c>
      <c r="G50" s="24" t="str">
        <f>IF($A50="","",IFERROR(INDEX(Scherpenzeel!$A$107:$A$206,MATCH($A50,Scherpenzeel!$C$107:$C$206,0)),""))</f>
        <v>DNF</v>
      </c>
      <c r="H50" s="15">
        <f>IF($A50="",0,IFERROR(INDEX(Scherpenzeel!$I$107:$I$206,MATCH($A50,Scherpenzeel!$C$107:$C$206,0)),0))</f>
        <v>1</v>
      </c>
      <c r="I50" s="24" t="str">
        <f>IF($A50="","",IFERROR(INDEX('4'!$A$107:$A$206,MATCH($A50,'4'!$C$107:$C$206,0)),""))</f>
        <v/>
      </c>
      <c r="J50" s="15">
        <f>IF($A50="",0,IFERROR(INDEX('4'!$I$107:$I$206,MATCH($A50,'4'!$C$107:$C$206,0)),0))</f>
        <v>0</v>
      </c>
      <c r="K50" s="24" t="str">
        <f>IF($A50="","",IFERROR(INDEX('5'!$A$107:$A$206,MATCH($A50,'5'!$C$107:$C$206,0)),""))</f>
        <v/>
      </c>
      <c r="L50" s="15">
        <f>IF($A50="",0,IFERROR(INDEX('5'!$I$107:$I$206,MATCH($A50,'5'!$C$107:$C$206,0)),0))</f>
        <v>0</v>
      </c>
      <c r="M50" s="25">
        <f>IF($A50="","",D50+F50+H50+J50+L50)</f>
        <v>1</v>
      </c>
      <c r="N50" s="26">
        <f>IF(OR($A50="",M50="",M50=0),"",RANK(M50,$M$4:$M$203,0))</f>
        <v>44</v>
      </c>
      <c r="AA50">
        <f>Barneveld!C89</f>
        <v>0</v>
      </c>
      <c r="AB50">
        <f>IF(AA50="",0,IF(COUNTIF($AA$1:AA50,AA50)=1,1,0))</f>
        <v>0</v>
      </c>
      <c r="AC50" t="str">
        <f>IF(AB50=1,COUNTIF($AB$1:AB50,1),"")</f>
        <v/>
      </c>
    </row>
    <row r="51" spans="1:29" x14ac:dyDescent="0.25">
      <c r="A51" s="13">
        <f>IFERROR(INDEX($AA$1:$AA$400,MATCH(30,$AC$1:$AC$400,0)),"")</f>
        <v>0</v>
      </c>
      <c r="B51" s="13" t="str">
        <f>IF($A51="","",IF(IFERROR(INDEX(Barneveld!$E$40:$E$139,MATCH($A51,Barneveld!$C$40:$C$139,0)),"")&lt;&gt;"",IFERROR(INDEX(Barneveld!$E$40:$E$139,MATCH($A51,Barneveld!$C$40:$C$139,0)),""),IF(IFERROR(INDEX(Scherpenzeel!$F$107:$F$206,MATCH($A51,Scherpenzeel!$C$107:$C$206,0)),"")&lt;&gt;"",IFERROR(INDEX(Scherpenzeel!$F$107:$F$206,MATCH($A51,Scherpenzeel!$C$107:$C$206,0)),""),IF(IFERROR(INDEX('4'!$F$107:$F$206,MATCH($A51,'4'!$C$107:$C$206,0)),"")&lt;&gt;"",IFERROR(INDEX('4'!$F$107:$F$206,MATCH($A51,'4'!$C$107:$C$206,0)),""),IFERROR(INDEX('5'!$F$107:$F$206,MATCH($A51,'5'!$C$107:$C$206,0)),"")))))</f>
        <v/>
      </c>
      <c r="C51" s="24" t="str">
        <f>IF($A51="","",IFERROR(INDEX(Barneveld!$A$40:$A$139,MATCH($A51,Barneveld!$C$40:$C$139,0)),""))</f>
        <v/>
      </c>
      <c r="D51" s="15">
        <f>IF($A51="",0,IFERROR(INDEX(Barneveld!$H$40:$H$139,MATCH($A51,Barneveld!$C$40:$C$139,0)),0))</f>
        <v>0</v>
      </c>
      <c r="E51" s="24" t="str">
        <f>""</f>
        <v/>
      </c>
      <c r="F51" s="15">
        <f>0</f>
        <v>0</v>
      </c>
      <c r="G51" s="24" t="str">
        <f>IF($A51="","",IFERROR(INDEX(Scherpenzeel!$A$107:$A$206,MATCH($A51,Scherpenzeel!$C$107:$C$206,0)),""))</f>
        <v/>
      </c>
      <c r="H51" s="15">
        <f>IF($A51="",0,IFERROR(INDEX(Scherpenzeel!$I$107:$I$206,MATCH($A51,Scherpenzeel!$C$107:$C$206,0)),0))</f>
        <v>0</v>
      </c>
      <c r="I51" s="24" t="str">
        <f>IF($A51="","",IFERROR(INDEX('4'!$A$107:$A$206,MATCH($A51,'4'!$C$107:$C$206,0)),""))</f>
        <v/>
      </c>
      <c r="J51" s="15">
        <f>IF($A51="",0,IFERROR(INDEX('4'!$I$107:$I$206,MATCH($A51,'4'!$C$107:$C$206,0)),0))</f>
        <v>0</v>
      </c>
      <c r="K51" s="24" t="str">
        <f>IF($A51="","",IFERROR(INDEX('5'!$A$107:$A$206,MATCH($A51,'5'!$C$107:$C$206,0)),""))</f>
        <v/>
      </c>
      <c r="L51" s="15">
        <f>IF($A51="",0,IFERROR(INDEX('5'!$I$107:$I$206,MATCH($A51,'5'!$C$107:$C$206,0)),0))</f>
        <v>0</v>
      </c>
      <c r="M51" s="25">
        <f>IF($A51="","",D51+F51+H51+J51+L51)</f>
        <v>0</v>
      </c>
      <c r="N51" s="26" t="str">
        <f>IF(OR($A51="",M51="",M51=0),"",RANK(M51,$M$4:$M$203,0))</f>
        <v/>
      </c>
      <c r="AA51">
        <f>Barneveld!C90</f>
        <v>0</v>
      </c>
      <c r="AB51">
        <f>IF(AA51="",0,IF(COUNTIF($AA$1:AA51,AA51)=1,1,0))</f>
        <v>0</v>
      </c>
      <c r="AC51" t="str">
        <f>IF(AB51=1,COUNTIF($AB$1:AB51,1),"")</f>
        <v/>
      </c>
    </row>
    <row r="52" spans="1:29" x14ac:dyDescent="0.25">
      <c r="A52" s="13" t="str">
        <f>IFERROR(INDEX($AA$1:$AA$400,MATCH(49,$AC$1:$AC$400,0)),"")</f>
        <v/>
      </c>
      <c r="B52" s="13" t="str">
        <f>IF($A52="","",IF(IFERROR(INDEX(Barneveld!$E$40:$E$139,MATCH($A52,Barneveld!$C$40:$C$139,0)),"")&lt;&gt;"",IFERROR(INDEX(Barneveld!$E$40:$E$139,MATCH($A52,Barneveld!$C$40:$C$139,0)),""),IF(IFERROR(INDEX(Scherpenzeel!$F$107:$F$206,MATCH($A52,Scherpenzeel!$C$107:$C$206,0)),"")&lt;&gt;"",IFERROR(INDEX(Scherpenzeel!$F$107:$F$206,MATCH($A52,Scherpenzeel!$C$107:$C$206,0)),""),IF(IFERROR(INDEX('4'!$F$107:$F$206,MATCH($A52,'4'!$C$107:$C$206,0)),"")&lt;&gt;"",IFERROR(INDEX('4'!$F$107:$F$206,MATCH($A52,'4'!$C$107:$C$206,0)),""),IFERROR(INDEX('5'!$F$107:$F$206,MATCH($A52,'5'!$C$107:$C$206,0)),"")))))</f>
        <v/>
      </c>
      <c r="C52" s="24" t="str">
        <f>IF($A52="","",IFERROR(INDEX(Barneveld!$A$40:$A$139,MATCH($A52,Barneveld!$C$40:$C$139,0)),""))</f>
        <v/>
      </c>
      <c r="D52" s="15">
        <f>IF($A52="",0,IFERROR(INDEX(Barneveld!$H$40:$H$139,MATCH($A52,Barneveld!$C$40:$C$139,0)),0))</f>
        <v>0</v>
      </c>
      <c r="E52" s="24" t="str">
        <f>""</f>
        <v/>
      </c>
      <c r="F52" s="15">
        <f>0</f>
        <v>0</v>
      </c>
      <c r="G52" s="24" t="str">
        <f>IF($A52="","",IFERROR(INDEX(Scherpenzeel!$A$107:$A$206,MATCH($A52,Scherpenzeel!$C$107:$C$206,0)),""))</f>
        <v/>
      </c>
      <c r="H52" s="15">
        <f>IF($A52="",0,IFERROR(INDEX(Scherpenzeel!$I$107:$I$206,MATCH($A52,Scherpenzeel!$C$107:$C$206,0)),0))</f>
        <v>0</v>
      </c>
      <c r="I52" s="24" t="str">
        <f>IF($A52="","",IFERROR(INDEX('4'!$A$107:$A$206,MATCH($A52,'4'!$C$107:$C$206,0)),""))</f>
        <v/>
      </c>
      <c r="J52" s="15">
        <f>IF($A52="",0,IFERROR(INDEX('4'!$I$107:$I$206,MATCH($A52,'4'!$C$107:$C$206,0)),0))</f>
        <v>0</v>
      </c>
      <c r="K52" s="24" t="str">
        <f>IF($A52="","",IFERROR(INDEX('5'!$A$107:$A$206,MATCH($A52,'5'!$C$107:$C$206,0)),""))</f>
        <v/>
      </c>
      <c r="L52" s="15">
        <f>IF($A52="",0,IFERROR(INDEX('5'!$I$107:$I$206,MATCH($A52,'5'!$C$107:$C$206,0)),0))</f>
        <v>0</v>
      </c>
      <c r="M52" s="25" t="str">
        <f>IF($A52="","",D52+F52+H52+J52+L52)</f>
        <v/>
      </c>
      <c r="N52" s="26" t="str">
        <f>IF(OR($A52="",M52="",M52=0),"",RANK(M52,$M$4:$M$203,0))</f>
        <v/>
      </c>
      <c r="AA52">
        <f>Barneveld!C91</f>
        <v>0</v>
      </c>
      <c r="AB52">
        <f>IF(AA52="",0,IF(COUNTIF($AA$1:AA52,AA52)=1,1,0))</f>
        <v>0</v>
      </c>
      <c r="AC52" t="str">
        <f>IF(AB52=1,COUNTIF($AB$1:AB52,1),"")</f>
        <v/>
      </c>
    </row>
    <row r="53" spans="1:29" x14ac:dyDescent="0.25">
      <c r="A53" s="13" t="str">
        <f>IFERROR(INDEX($AA$1:$AA$400,MATCH(50,$AC$1:$AC$400,0)),"")</f>
        <v/>
      </c>
      <c r="B53" s="13" t="str">
        <f>IF($A53="","",IF(IFERROR(INDEX(Barneveld!$E$40:$E$139,MATCH($A53,Barneveld!$C$40:$C$139,0)),"")&lt;&gt;"",IFERROR(INDEX(Barneveld!$E$40:$E$139,MATCH($A53,Barneveld!$C$40:$C$139,0)),""),IF(IFERROR(INDEX(Scherpenzeel!$F$107:$F$206,MATCH($A53,Scherpenzeel!$C$107:$C$206,0)),"")&lt;&gt;"",IFERROR(INDEX(Scherpenzeel!$F$107:$F$206,MATCH($A53,Scherpenzeel!$C$107:$C$206,0)),""),IF(IFERROR(INDEX('4'!$F$107:$F$206,MATCH($A53,'4'!$C$107:$C$206,0)),"")&lt;&gt;"",IFERROR(INDEX('4'!$F$107:$F$206,MATCH($A53,'4'!$C$107:$C$206,0)),""),IFERROR(INDEX('5'!$F$107:$F$206,MATCH($A53,'5'!$C$107:$C$206,0)),"")))))</f>
        <v/>
      </c>
      <c r="C53" s="24" t="str">
        <f>IF($A53="","",IFERROR(INDEX(Barneveld!$A$40:$A$139,MATCH($A53,Barneveld!$C$40:$C$139,0)),""))</f>
        <v/>
      </c>
      <c r="D53" s="15">
        <f>IF($A53="",0,IFERROR(INDEX(Barneveld!$H$40:$H$139,MATCH($A53,Barneveld!$C$40:$C$139,0)),0))</f>
        <v>0</v>
      </c>
      <c r="E53" s="24" t="str">
        <f>""</f>
        <v/>
      </c>
      <c r="F53" s="15">
        <f>0</f>
        <v>0</v>
      </c>
      <c r="G53" s="24" t="str">
        <f>IF($A53="","",IFERROR(INDEX(Scherpenzeel!$A$107:$A$206,MATCH($A53,Scherpenzeel!$C$107:$C$206,0)),""))</f>
        <v/>
      </c>
      <c r="H53" s="15">
        <f>IF($A53="",0,IFERROR(INDEX(Scherpenzeel!$I$107:$I$206,MATCH($A53,Scherpenzeel!$C$107:$C$206,0)),0))</f>
        <v>0</v>
      </c>
      <c r="I53" s="24" t="str">
        <f>IF($A53="","",IFERROR(INDEX('4'!$A$107:$A$206,MATCH($A53,'4'!$C$107:$C$206,0)),""))</f>
        <v/>
      </c>
      <c r="J53" s="15">
        <f>IF($A53="",0,IFERROR(INDEX('4'!$I$107:$I$206,MATCH($A53,'4'!$C$107:$C$206,0)),0))</f>
        <v>0</v>
      </c>
      <c r="K53" s="24" t="str">
        <f>IF($A53="","",IFERROR(INDEX('5'!$A$107:$A$206,MATCH($A53,'5'!$C$107:$C$206,0)),""))</f>
        <v/>
      </c>
      <c r="L53" s="15">
        <f>IF($A53="",0,IFERROR(INDEX('5'!$I$107:$I$206,MATCH($A53,'5'!$C$107:$C$206,0)),0))</f>
        <v>0</v>
      </c>
      <c r="M53" s="25" t="str">
        <f>IF($A53="","",D53+F53+H53+J53+L53)</f>
        <v/>
      </c>
      <c r="N53" s="26" t="str">
        <f>IF(OR($A53="",M53="",M53=0),"",RANK(M53,$M$4:$M$203,0))</f>
        <v/>
      </c>
      <c r="AA53">
        <f>Barneveld!C92</f>
        <v>0</v>
      </c>
      <c r="AB53">
        <f>IF(AA53="",0,IF(COUNTIF($AA$1:AA53,AA53)=1,1,0))</f>
        <v>0</v>
      </c>
      <c r="AC53" t="str">
        <f>IF(AB53=1,COUNTIF($AB$1:AB53,1),"")</f>
        <v/>
      </c>
    </row>
    <row r="54" spans="1:29" x14ac:dyDescent="0.25">
      <c r="A54" s="13" t="str">
        <f>IFERROR(INDEX($AA$1:$AA$400,MATCH(51,$AC$1:$AC$400,0)),"")</f>
        <v/>
      </c>
      <c r="B54" s="13" t="str">
        <f>IF($A54="","",IF(IFERROR(INDEX(Barneveld!$E$40:$E$139,MATCH($A54,Barneveld!$C$40:$C$139,0)),"")&lt;&gt;"",IFERROR(INDEX(Barneveld!$E$40:$E$139,MATCH($A54,Barneveld!$C$40:$C$139,0)),""),IF(IFERROR(INDEX(Scherpenzeel!$F$107:$F$206,MATCH($A54,Scherpenzeel!$C$107:$C$206,0)),"")&lt;&gt;"",IFERROR(INDEX(Scherpenzeel!$F$107:$F$206,MATCH($A54,Scherpenzeel!$C$107:$C$206,0)),""),IF(IFERROR(INDEX('4'!$F$107:$F$206,MATCH($A54,'4'!$C$107:$C$206,0)),"")&lt;&gt;"",IFERROR(INDEX('4'!$F$107:$F$206,MATCH($A54,'4'!$C$107:$C$206,0)),""),IFERROR(INDEX('5'!$F$107:$F$206,MATCH($A54,'5'!$C$107:$C$206,0)),"")))))</f>
        <v/>
      </c>
      <c r="C54" s="24" t="str">
        <f>IF($A54="","",IFERROR(INDEX(Barneveld!$A$40:$A$139,MATCH($A54,Barneveld!$C$40:$C$139,0)),""))</f>
        <v/>
      </c>
      <c r="D54" s="15">
        <f>IF($A54="",0,IFERROR(INDEX(Barneveld!$H$40:$H$139,MATCH($A54,Barneveld!$C$40:$C$139,0)),0))</f>
        <v>0</v>
      </c>
      <c r="E54" s="24" t="str">
        <f>""</f>
        <v/>
      </c>
      <c r="F54" s="15">
        <f>0</f>
        <v>0</v>
      </c>
      <c r="G54" s="24" t="str">
        <f>IF($A54="","",IFERROR(INDEX(Scherpenzeel!$A$107:$A$206,MATCH($A54,Scherpenzeel!$C$107:$C$206,0)),""))</f>
        <v/>
      </c>
      <c r="H54" s="15">
        <f>IF($A54="",0,IFERROR(INDEX(Scherpenzeel!$I$107:$I$206,MATCH($A54,Scherpenzeel!$C$107:$C$206,0)),0))</f>
        <v>0</v>
      </c>
      <c r="I54" s="24" t="str">
        <f>IF($A54="","",IFERROR(INDEX('4'!$A$107:$A$206,MATCH($A54,'4'!$C$107:$C$206,0)),""))</f>
        <v/>
      </c>
      <c r="J54" s="15">
        <f>IF($A54="",0,IFERROR(INDEX('4'!$I$107:$I$206,MATCH($A54,'4'!$C$107:$C$206,0)),0))</f>
        <v>0</v>
      </c>
      <c r="K54" s="24" t="str">
        <f>IF($A54="","",IFERROR(INDEX('5'!$A$107:$A$206,MATCH($A54,'5'!$C$107:$C$206,0)),""))</f>
        <v/>
      </c>
      <c r="L54" s="15">
        <f>IF($A54="",0,IFERROR(INDEX('5'!$I$107:$I$206,MATCH($A54,'5'!$C$107:$C$206,0)),0))</f>
        <v>0</v>
      </c>
      <c r="M54" s="25" t="str">
        <f>IF($A54="","",D54+F54+H54+J54+L54)</f>
        <v/>
      </c>
      <c r="N54" s="26" t="str">
        <f>IF(OR($A54="",M54="",M54=0),"",RANK(M54,$M$4:$M$203,0))</f>
        <v/>
      </c>
      <c r="AA54">
        <f>Barneveld!C93</f>
        <v>0</v>
      </c>
      <c r="AB54">
        <f>IF(AA54="",0,IF(COUNTIF($AA$1:AA54,AA54)=1,1,0))</f>
        <v>0</v>
      </c>
      <c r="AC54" t="str">
        <f>IF(AB54=1,COUNTIF($AB$1:AB54,1),"")</f>
        <v/>
      </c>
    </row>
    <row r="55" spans="1:29" x14ac:dyDescent="0.25">
      <c r="A55" s="13" t="str">
        <f>IFERROR(INDEX($AA$1:$AA$400,MATCH(52,$AC$1:$AC$400,0)),"")</f>
        <v/>
      </c>
      <c r="B55" s="13" t="str">
        <f>IF($A55="","",IF(IFERROR(INDEX(Barneveld!$E$40:$E$139,MATCH($A55,Barneveld!$C$40:$C$139,0)),"")&lt;&gt;"",IFERROR(INDEX(Barneveld!$E$40:$E$139,MATCH($A55,Barneveld!$C$40:$C$139,0)),""),IF(IFERROR(INDEX(Scherpenzeel!$F$107:$F$206,MATCH($A55,Scherpenzeel!$C$107:$C$206,0)),"")&lt;&gt;"",IFERROR(INDEX(Scherpenzeel!$F$107:$F$206,MATCH($A55,Scherpenzeel!$C$107:$C$206,0)),""),IF(IFERROR(INDEX('4'!$F$107:$F$206,MATCH($A55,'4'!$C$107:$C$206,0)),"")&lt;&gt;"",IFERROR(INDEX('4'!$F$107:$F$206,MATCH($A55,'4'!$C$107:$C$206,0)),""),IFERROR(INDEX('5'!$F$107:$F$206,MATCH($A55,'5'!$C$107:$C$206,0)),"")))))</f>
        <v/>
      </c>
      <c r="C55" s="24" t="str">
        <f>IF($A55="","",IFERROR(INDEX(Barneveld!$A$40:$A$139,MATCH($A55,Barneveld!$C$40:$C$139,0)),""))</f>
        <v/>
      </c>
      <c r="D55" s="15">
        <f>IF($A55="",0,IFERROR(INDEX(Barneveld!$H$40:$H$139,MATCH($A55,Barneveld!$C$40:$C$139,0)),0))</f>
        <v>0</v>
      </c>
      <c r="E55" s="24" t="str">
        <f>""</f>
        <v/>
      </c>
      <c r="F55" s="15">
        <f>0</f>
        <v>0</v>
      </c>
      <c r="G55" s="24" t="str">
        <f>IF($A55="","",IFERROR(INDEX(Scherpenzeel!$A$107:$A$206,MATCH($A55,Scherpenzeel!$C$107:$C$206,0)),""))</f>
        <v/>
      </c>
      <c r="H55" s="15">
        <f>IF($A55="",0,IFERROR(INDEX(Scherpenzeel!$I$107:$I$206,MATCH($A55,Scherpenzeel!$C$107:$C$206,0)),0))</f>
        <v>0</v>
      </c>
      <c r="I55" s="24" t="str">
        <f>IF($A55="","",IFERROR(INDEX('4'!$A$107:$A$206,MATCH($A55,'4'!$C$107:$C$206,0)),""))</f>
        <v/>
      </c>
      <c r="J55" s="15">
        <f>IF($A55="",0,IFERROR(INDEX('4'!$I$107:$I$206,MATCH($A55,'4'!$C$107:$C$206,0)),0))</f>
        <v>0</v>
      </c>
      <c r="K55" s="24" t="str">
        <f>IF($A55="","",IFERROR(INDEX('5'!$A$107:$A$206,MATCH($A55,'5'!$C$107:$C$206,0)),""))</f>
        <v/>
      </c>
      <c r="L55" s="15">
        <f>IF($A55="",0,IFERROR(INDEX('5'!$I$107:$I$206,MATCH($A55,'5'!$C$107:$C$206,0)),0))</f>
        <v>0</v>
      </c>
      <c r="M55" s="25" t="str">
        <f>IF($A55="","",D55+F55+H55+J55+L55)</f>
        <v/>
      </c>
      <c r="N55" s="26" t="str">
        <f>IF(OR($A55="",M55="",M55=0),"",RANK(M55,$M$4:$M$203,0))</f>
        <v/>
      </c>
      <c r="AA55">
        <f>Barneveld!C94</f>
        <v>0</v>
      </c>
      <c r="AB55">
        <f>IF(AA55="",0,IF(COUNTIF($AA$1:AA55,AA55)=1,1,0))</f>
        <v>0</v>
      </c>
      <c r="AC55" t="str">
        <f>IF(AB55=1,COUNTIF($AB$1:AB55,1),"")</f>
        <v/>
      </c>
    </row>
    <row r="56" spans="1:29" x14ac:dyDescent="0.25">
      <c r="A56" s="13" t="str">
        <f>IFERROR(INDEX($AA$1:$AA$400,MATCH(53,$AC$1:$AC$400,0)),"")</f>
        <v/>
      </c>
      <c r="B56" s="13" t="str">
        <f>IF($A56="","",IF(IFERROR(INDEX(Barneveld!$E$40:$E$139,MATCH($A56,Barneveld!$C$40:$C$139,0)),"")&lt;&gt;"",IFERROR(INDEX(Barneveld!$E$40:$E$139,MATCH($A56,Barneveld!$C$40:$C$139,0)),""),IF(IFERROR(INDEX(Scherpenzeel!$F$107:$F$206,MATCH($A56,Scherpenzeel!$C$107:$C$206,0)),"")&lt;&gt;"",IFERROR(INDEX(Scherpenzeel!$F$107:$F$206,MATCH($A56,Scherpenzeel!$C$107:$C$206,0)),""),IF(IFERROR(INDEX('4'!$F$107:$F$206,MATCH($A56,'4'!$C$107:$C$206,0)),"")&lt;&gt;"",IFERROR(INDEX('4'!$F$107:$F$206,MATCH($A56,'4'!$C$107:$C$206,0)),""),IFERROR(INDEX('5'!$F$107:$F$206,MATCH($A56,'5'!$C$107:$C$206,0)),"")))))</f>
        <v/>
      </c>
      <c r="C56" s="24" t="str">
        <f>IF($A56="","",IFERROR(INDEX(Barneveld!$A$40:$A$139,MATCH($A56,Barneveld!$C$40:$C$139,0)),""))</f>
        <v/>
      </c>
      <c r="D56" s="15">
        <f>IF($A56="",0,IFERROR(INDEX(Barneveld!$H$40:$H$139,MATCH($A56,Barneveld!$C$40:$C$139,0)),0))</f>
        <v>0</v>
      </c>
      <c r="E56" s="24" t="str">
        <f>""</f>
        <v/>
      </c>
      <c r="F56" s="15">
        <f>0</f>
        <v>0</v>
      </c>
      <c r="G56" s="24" t="str">
        <f>IF($A56="","",IFERROR(INDEX(Scherpenzeel!$A$107:$A$206,MATCH($A56,Scherpenzeel!$C$107:$C$206,0)),""))</f>
        <v/>
      </c>
      <c r="H56" s="15">
        <f>IF($A56="",0,IFERROR(INDEX(Scherpenzeel!$I$107:$I$206,MATCH($A56,Scherpenzeel!$C$107:$C$206,0)),0))</f>
        <v>0</v>
      </c>
      <c r="I56" s="24" t="str">
        <f>IF($A56="","",IFERROR(INDEX('4'!$A$107:$A$206,MATCH($A56,'4'!$C$107:$C$206,0)),""))</f>
        <v/>
      </c>
      <c r="J56" s="15">
        <f>IF($A56="",0,IFERROR(INDEX('4'!$I$107:$I$206,MATCH($A56,'4'!$C$107:$C$206,0)),0))</f>
        <v>0</v>
      </c>
      <c r="K56" s="24" t="str">
        <f>IF($A56="","",IFERROR(INDEX('5'!$A$107:$A$206,MATCH($A56,'5'!$C$107:$C$206,0)),""))</f>
        <v/>
      </c>
      <c r="L56" s="15">
        <f>IF($A56="",0,IFERROR(INDEX('5'!$I$107:$I$206,MATCH($A56,'5'!$C$107:$C$206,0)),0))</f>
        <v>0</v>
      </c>
      <c r="M56" s="25" t="str">
        <f>IF($A56="","",D56+F56+H56+J56+L56)</f>
        <v/>
      </c>
      <c r="N56" s="26" t="str">
        <f>IF(OR($A56="",M56="",M56=0),"",RANK(M56,$M$4:$M$203,0))</f>
        <v/>
      </c>
      <c r="AA56">
        <f>Barneveld!C95</f>
        <v>0</v>
      </c>
      <c r="AB56">
        <f>IF(AA56="",0,IF(COUNTIF($AA$1:AA56,AA56)=1,1,0))</f>
        <v>0</v>
      </c>
      <c r="AC56" t="str">
        <f>IF(AB56=1,COUNTIF($AB$1:AB56,1),"")</f>
        <v/>
      </c>
    </row>
    <row r="57" spans="1:29" x14ac:dyDescent="0.25">
      <c r="A57" s="13" t="str">
        <f>IFERROR(INDEX($AA$1:$AA$400,MATCH(54,$AC$1:$AC$400,0)),"")</f>
        <v/>
      </c>
      <c r="B57" s="13" t="str">
        <f>IF($A57="","",IF(IFERROR(INDEX(Barneveld!$E$40:$E$139,MATCH($A57,Barneveld!$C$40:$C$139,0)),"")&lt;&gt;"",IFERROR(INDEX(Barneveld!$E$40:$E$139,MATCH($A57,Barneveld!$C$40:$C$139,0)),""),IF(IFERROR(INDEX(Scherpenzeel!$F$107:$F$206,MATCH($A57,Scherpenzeel!$C$107:$C$206,0)),"")&lt;&gt;"",IFERROR(INDEX(Scherpenzeel!$F$107:$F$206,MATCH($A57,Scherpenzeel!$C$107:$C$206,0)),""),IF(IFERROR(INDEX('4'!$F$107:$F$206,MATCH($A57,'4'!$C$107:$C$206,0)),"")&lt;&gt;"",IFERROR(INDEX('4'!$F$107:$F$206,MATCH($A57,'4'!$C$107:$C$206,0)),""),IFERROR(INDEX('5'!$F$107:$F$206,MATCH($A57,'5'!$C$107:$C$206,0)),"")))))</f>
        <v/>
      </c>
      <c r="C57" s="24" t="str">
        <f>IF($A57="","",IFERROR(INDEX(Barneveld!$A$40:$A$139,MATCH($A57,Barneveld!$C$40:$C$139,0)),""))</f>
        <v/>
      </c>
      <c r="D57" s="15">
        <f>IF($A57="",0,IFERROR(INDEX(Barneveld!$H$40:$H$139,MATCH($A57,Barneveld!$C$40:$C$139,0)),0))</f>
        <v>0</v>
      </c>
      <c r="E57" s="24" t="str">
        <f>""</f>
        <v/>
      </c>
      <c r="F57" s="15">
        <f>0</f>
        <v>0</v>
      </c>
      <c r="G57" s="24" t="str">
        <f>IF($A57="","",IFERROR(INDEX(Scherpenzeel!$A$107:$A$206,MATCH($A57,Scherpenzeel!$C$107:$C$206,0)),""))</f>
        <v/>
      </c>
      <c r="H57" s="15">
        <f>IF($A57="",0,IFERROR(INDEX(Scherpenzeel!$I$107:$I$206,MATCH($A57,Scherpenzeel!$C$107:$C$206,0)),0))</f>
        <v>0</v>
      </c>
      <c r="I57" s="24" t="str">
        <f>IF($A57="","",IFERROR(INDEX('4'!$A$107:$A$206,MATCH($A57,'4'!$C$107:$C$206,0)),""))</f>
        <v/>
      </c>
      <c r="J57" s="15">
        <f>IF($A57="",0,IFERROR(INDEX('4'!$I$107:$I$206,MATCH($A57,'4'!$C$107:$C$206,0)),0))</f>
        <v>0</v>
      </c>
      <c r="K57" s="24" t="str">
        <f>IF($A57="","",IFERROR(INDEX('5'!$A$107:$A$206,MATCH($A57,'5'!$C$107:$C$206,0)),""))</f>
        <v/>
      </c>
      <c r="L57" s="15">
        <f>IF($A57="",0,IFERROR(INDEX('5'!$I$107:$I$206,MATCH($A57,'5'!$C$107:$C$206,0)),0))</f>
        <v>0</v>
      </c>
      <c r="M57" s="25" t="str">
        <f>IF($A57="","",D57+F57+H57+J57+L57)</f>
        <v/>
      </c>
      <c r="N57" s="26" t="str">
        <f>IF(OR($A57="",M57="",M57=0),"",RANK(M57,$M$4:$M$203,0))</f>
        <v/>
      </c>
      <c r="AA57">
        <f>Barneveld!C96</f>
        <v>0</v>
      </c>
      <c r="AB57">
        <f>IF(AA57="",0,IF(COUNTIF($AA$1:AA57,AA57)=1,1,0))</f>
        <v>0</v>
      </c>
      <c r="AC57" t="str">
        <f>IF(AB57=1,COUNTIF($AB$1:AB57,1),"")</f>
        <v/>
      </c>
    </row>
    <row r="58" spans="1:29" x14ac:dyDescent="0.25">
      <c r="A58" s="13" t="str">
        <f>IFERROR(INDEX($AA$1:$AA$400,MATCH(55,$AC$1:$AC$400,0)),"")</f>
        <v/>
      </c>
      <c r="B58" s="13" t="str">
        <f>IF($A58="","",IF(IFERROR(INDEX(Barneveld!$E$40:$E$139,MATCH($A58,Barneveld!$C$40:$C$139,0)),"")&lt;&gt;"",IFERROR(INDEX(Barneveld!$E$40:$E$139,MATCH($A58,Barneveld!$C$40:$C$139,0)),""),IF(IFERROR(INDEX(Scherpenzeel!$F$107:$F$206,MATCH($A58,Scherpenzeel!$C$107:$C$206,0)),"")&lt;&gt;"",IFERROR(INDEX(Scherpenzeel!$F$107:$F$206,MATCH($A58,Scherpenzeel!$C$107:$C$206,0)),""),IF(IFERROR(INDEX('4'!$F$107:$F$206,MATCH($A58,'4'!$C$107:$C$206,0)),"")&lt;&gt;"",IFERROR(INDEX('4'!$F$107:$F$206,MATCH($A58,'4'!$C$107:$C$206,0)),""),IFERROR(INDEX('5'!$F$107:$F$206,MATCH($A58,'5'!$C$107:$C$206,0)),"")))))</f>
        <v/>
      </c>
      <c r="C58" s="24" t="str">
        <f>IF($A58="","",IFERROR(INDEX(Barneveld!$A$40:$A$139,MATCH($A58,Barneveld!$C$40:$C$139,0)),""))</f>
        <v/>
      </c>
      <c r="D58" s="15">
        <f>IF($A58="",0,IFERROR(INDEX(Barneveld!$H$40:$H$139,MATCH($A58,Barneveld!$C$40:$C$139,0)),0))</f>
        <v>0</v>
      </c>
      <c r="E58" s="24" t="str">
        <f>""</f>
        <v/>
      </c>
      <c r="F58" s="15">
        <f>0</f>
        <v>0</v>
      </c>
      <c r="G58" s="24" t="str">
        <f>IF($A58="","",IFERROR(INDEX(Scherpenzeel!$A$107:$A$206,MATCH($A58,Scherpenzeel!$C$107:$C$206,0)),""))</f>
        <v/>
      </c>
      <c r="H58" s="15">
        <f>IF($A58="",0,IFERROR(INDEX(Scherpenzeel!$I$107:$I$206,MATCH($A58,Scherpenzeel!$C$107:$C$206,0)),0))</f>
        <v>0</v>
      </c>
      <c r="I58" s="24" t="str">
        <f>IF($A58="","",IFERROR(INDEX('4'!$A$107:$A$206,MATCH($A58,'4'!$C$107:$C$206,0)),""))</f>
        <v/>
      </c>
      <c r="J58" s="15">
        <f>IF($A58="",0,IFERROR(INDEX('4'!$I$107:$I$206,MATCH($A58,'4'!$C$107:$C$206,0)),0))</f>
        <v>0</v>
      </c>
      <c r="K58" s="24" t="str">
        <f>IF($A58="","",IFERROR(INDEX('5'!$A$107:$A$206,MATCH($A58,'5'!$C$107:$C$206,0)),""))</f>
        <v/>
      </c>
      <c r="L58" s="15">
        <f>IF($A58="",0,IFERROR(INDEX('5'!$I$107:$I$206,MATCH($A58,'5'!$C$107:$C$206,0)),0))</f>
        <v>0</v>
      </c>
      <c r="M58" s="25" t="str">
        <f>IF($A58="","",D58+F58+H58+J58+L58)</f>
        <v/>
      </c>
      <c r="N58" s="26" t="str">
        <f>IF(OR($A58="",M58="",M58=0),"",RANK(M58,$M$4:$M$203,0))</f>
        <v/>
      </c>
      <c r="AA58">
        <f>Barneveld!C97</f>
        <v>0</v>
      </c>
      <c r="AB58">
        <f>IF(AA58="",0,IF(COUNTIF($AA$1:AA58,AA58)=1,1,0))</f>
        <v>0</v>
      </c>
      <c r="AC58" t="str">
        <f>IF(AB58=1,COUNTIF($AB$1:AB58,1),"")</f>
        <v/>
      </c>
    </row>
    <row r="59" spans="1:29" x14ac:dyDescent="0.25">
      <c r="A59" s="13" t="str">
        <f>IFERROR(INDEX($AA$1:$AA$400,MATCH(56,$AC$1:$AC$400,0)),"")</f>
        <v/>
      </c>
      <c r="B59" s="13" t="str">
        <f>IF($A59="","",IF(IFERROR(INDEX(Barneveld!$E$40:$E$139,MATCH($A59,Barneveld!$C$40:$C$139,0)),"")&lt;&gt;"",IFERROR(INDEX(Barneveld!$E$40:$E$139,MATCH($A59,Barneveld!$C$40:$C$139,0)),""),IF(IFERROR(INDEX(Scherpenzeel!$F$107:$F$206,MATCH($A59,Scherpenzeel!$C$107:$C$206,0)),"")&lt;&gt;"",IFERROR(INDEX(Scherpenzeel!$F$107:$F$206,MATCH($A59,Scherpenzeel!$C$107:$C$206,0)),""),IF(IFERROR(INDEX('4'!$F$107:$F$206,MATCH($A59,'4'!$C$107:$C$206,0)),"")&lt;&gt;"",IFERROR(INDEX('4'!$F$107:$F$206,MATCH($A59,'4'!$C$107:$C$206,0)),""),IFERROR(INDEX('5'!$F$107:$F$206,MATCH($A59,'5'!$C$107:$C$206,0)),"")))))</f>
        <v/>
      </c>
      <c r="C59" s="24" t="str">
        <f>IF($A59="","",IFERROR(INDEX(Barneveld!$A$40:$A$139,MATCH($A59,Barneveld!$C$40:$C$139,0)),""))</f>
        <v/>
      </c>
      <c r="D59" s="15">
        <f>IF($A59="",0,IFERROR(INDEX(Barneveld!$H$40:$H$139,MATCH($A59,Barneveld!$C$40:$C$139,0)),0))</f>
        <v>0</v>
      </c>
      <c r="E59" s="24" t="str">
        <f>""</f>
        <v/>
      </c>
      <c r="F59" s="15">
        <f>0</f>
        <v>0</v>
      </c>
      <c r="G59" s="24" t="str">
        <f>IF($A59="","",IFERROR(INDEX(Scherpenzeel!$A$107:$A$206,MATCH($A59,Scherpenzeel!$C$107:$C$206,0)),""))</f>
        <v/>
      </c>
      <c r="H59" s="15">
        <f>IF($A59="",0,IFERROR(INDEX(Scherpenzeel!$I$107:$I$206,MATCH($A59,Scherpenzeel!$C$107:$C$206,0)),0))</f>
        <v>0</v>
      </c>
      <c r="I59" s="24" t="str">
        <f>IF($A59="","",IFERROR(INDEX('4'!$A$107:$A$206,MATCH($A59,'4'!$C$107:$C$206,0)),""))</f>
        <v/>
      </c>
      <c r="J59" s="15">
        <f>IF($A59="",0,IFERROR(INDEX('4'!$I$107:$I$206,MATCH($A59,'4'!$C$107:$C$206,0)),0))</f>
        <v>0</v>
      </c>
      <c r="K59" s="24" t="str">
        <f>IF($A59="","",IFERROR(INDEX('5'!$A$107:$A$206,MATCH($A59,'5'!$C$107:$C$206,0)),""))</f>
        <v/>
      </c>
      <c r="L59" s="15">
        <f>IF($A59="",0,IFERROR(INDEX('5'!$I$107:$I$206,MATCH($A59,'5'!$C$107:$C$206,0)),0))</f>
        <v>0</v>
      </c>
      <c r="M59" s="25" t="str">
        <f>IF($A59="","",D59+F59+H59+J59+L59)</f>
        <v/>
      </c>
      <c r="N59" s="26" t="str">
        <f>IF(OR($A59="",M59="",M59=0),"",RANK(M59,$M$4:$M$203,0))</f>
        <v/>
      </c>
      <c r="AA59">
        <f>Barneveld!C98</f>
        <v>0</v>
      </c>
      <c r="AB59">
        <f>IF(AA59="",0,IF(COUNTIF($AA$1:AA59,AA59)=1,1,0))</f>
        <v>0</v>
      </c>
      <c r="AC59" t="str">
        <f>IF(AB59=1,COUNTIF($AB$1:AB59,1),"")</f>
        <v/>
      </c>
    </row>
    <row r="60" spans="1:29" x14ac:dyDescent="0.25">
      <c r="A60" s="13" t="str">
        <f>IFERROR(INDEX($AA$1:$AA$400,MATCH(57,$AC$1:$AC$400,0)),"")</f>
        <v/>
      </c>
      <c r="B60" s="13" t="str">
        <f>IF($A60="","",IF(IFERROR(INDEX(Barneveld!$E$40:$E$139,MATCH($A60,Barneveld!$C$40:$C$139,0)),"")&lt;&gt;"",IFERROR(INDEX(Barneveld!$E$40:$E$139,MATCH($A60,Barneveld!$C$40:$C$139,0)),""),IF(IFERROR(INDEX(Scherpenzeel!$F$107:$F$206,MATCH($A60,Scherpenzeel!$C$107:$C$206,0)),"")&lt;&gt;"",IFERROR(INDEX(Scherpenzeel!$F$107:$F$206,MATCH($A60,Scherpenzeel!$C$107:$C$206,0)),""),IF(IFERROR(INDEX('4'!$F$107:$F$206,MATCH($A60,'4'!$C$107:$C$206,0)),"")&lt;&gt;"",IFERROR(INDEX('4'!$F$107:$F$206,MATCH($A60,'4'!$C$107:$C$206,0)),""),IFERROR(INDEX('5'!$F$107:$F$206,MATCH($A60,'5'!$C$107:$C$206,0)),"")))))</f>
        <v/>
      </c>
      <c r="C60" s="24" t="str">
        <f>IF($A60="","",IFERROR(INDEX(Barneveld!$A$40:$A$139,MATCH($A60,Barneveld!$C$40:$C$139,0)),""))</f>
        <v/>
      </c>
      <c r="D60" s="15">
        <f>IF($A60="",0,IFERROR(INDEX(Barneveld!$H$40:$H$139,MATCH($A60,Barneveld!$C$40:$C$139,0)),0))</f>
        <v>0</v>
      </c>
      <c r="E60" s="24" t="str">
        <f>""</f>
        <v/>
      </c>
      <c r="F60" s="15">
        <f>0</f>
        <v>0</v>
      </c>
      <c r="G60" s="24" t="str">
        <f>IF($A60="","",IFERROR(INDEX(Scherpenzeel!$A$107:$A$206,MATCH($A60,Scherpenzeel!$C$107:$C$206,0)),""))</f>
        <v/>
      </c>
      <c r="H60" s="15">
        <f>IF($A60="",0,IFERROR(INDEX(Scherpenzeel!$I$107:$I$206,MATCH($A60,Scherpenzeel!$C$107:$C$206,0)),0))</f>
        <v>0</v>
      </c>
      <c r="I60" s="24" t="str">
        <f>IF($A60="","",IFERROR(INDEX('4'!$A$107:$A$206,MATCH($A60,'4'!$C$107:$C$206,0)),""))</f>
        <v/>
      </c>
      <c r="J60" s="15">
        <f>IF($A60="",0,IFERROR(INDEX('4'!$I$107:$I$206,MATCH($A60,'4'!$C$107:$C$206,0)),0))</f>
        <v>0</v>
      </c>
      <c r="K60" s="24" t="str">
        <f>IF($A60="","",IFERROR(INDEX('5'!$A$107:$A$206,MATCH($A60,'5'!$C$107:$C$206,0)),""))</f>
        <v/>
      </c>
      <c r="L60" s="15">
        <f>IF($A60="",0,IFERROR(INDEX('5'!$I$107:$I$206,MATCH($A60,'5'!$C$107:$C$206,0)),0))</f>
        <v>0</v>
      </c>
      <c r="M60" s="25" t="str">
        <f>IF($A60="","",D60+F60+H60+J60+L60)</f>
        <v/>
      </c>
      <c r="N60" s="26" t="str">
        <f>IF(OR($A60="",M60="",M60=0),"",RANK(M60,$M$4:$M$203,0))</f>
        <v/>
      </c>
      <c r="AA60">
        <f>Barneveld!C99</f>
        <v>0</v>
      </c>
      <c r="AB60">
        <f>IF(AA60="",0,IF(COUNTIF($AA$1:AA60,AA60)=1,1,0))</f>
        <v>0</v>
      </c>
      <c r="AC60" t="str">
        <f>IF(AB60=1,COUNTIF($AB$1:AB60,1),"")</f>
        <v/>
      </c>
    </row>
    <row r="61" spans="1:29" x14ac:dyDescent="0.25">
      <c r="A61" s="13" t="str">
        <f>IFERROR(INDEX($AA$1:$AA$400,MATCH(58,$AC$1:$AC$400,0)),"")</f>
        <v/>
      </c>
      <c r="B61" s="13" t="str">
        <f>IF($A61="","",IF(IFERROR(INDEX(Barneveld!$E$40:$E$139,MATCH($A61,Barneveld!$C$40:$C$139,0)),"")&lt;&gt;"",IFERROR(INDEX(Barneveld!$E$40:$E$139,MATCH($A61,Barneveld!$C$40:$C$139,0)),""),IF(IFERROR(INDEX(Scherpenzeel!$F$107:$F$206,MATCH($A61,Scherpenzeel!$C$107:$C$206,0)),"")&lt;&gt;"",IFERROR(INDEX(Scherpenzeel!$F$107:$F$206,MATCH($A61,Scherpenzeel!$C$107:$C$206,0)),""),IF(IFERROR(INDEX('4'!$F$107:$F$206,MATCH($A61,'4'!$C$107:$C$206,0)),"")&lt;&gt;"",IFERROR(INDEX('4'!$F$107:$F$206,MATCH($A61,'4'!$C$107:$C$206,0)),""),IFERROR(INDEX('5'!$F$107:$F$206,MATCH($A61,'5'!$C$107:$C$206,0)),"")))))</f>
        <v/>
      </c>
      <c r="C61" s="24" t="str">
        <f>IF($A61="","",IFERROR(INDEX(Barneveld!$A$40:$A$139,MATCH($A61,Barneveld!$C$40:$C$139,0)),""))</f>
        <v/>
      </c>
      <c r="D61" s="15">
        <f>IF($A61="",0,IFERROR(INDEX(Barneveld!$H$40:$H$139,MATCH($A61,Barneveld!$C$40:$C$139,0)),0))</f>
        <v>0</v>
      </c>
      <c r="E61" s="24" t="str">
        <f>""</f>
        <v/>
      </c>
      <c r="F61" s="15">
        <f>0</f>
        <v>0</v>
      </c>
      <c r="G61" s="24" t="str">
        <f>IF($A61="","",IFERROR(INDEX(Scherpenzeel!$A$107:$A$206,MATCH($A61,Scherpenzeel!$C$107:$C$206,0)),""))</f>
        <v/>
      </c>
      <c r="H61" s="15">
        <f>IF($A61="",0,IFERROR(INDEX(Scherpenzeel!$I$107:$I$206,MATCH($A61,Scherpenzeel!$C$107:$C$206,0)),0))</f>
        <v>0</v>
      </c>
      <c r="I61" s="24" t="str">
        <f>IF($A61="","",IFERROR(INDEX('4'!$A$107:$A$206,MATCH($A61,'4'!$C$107:$C$206,0)),""))</f>
        <v/>
      </c>
      <c r="J61" s="15">
        <f>IF($A61="",0,IFERROR(INDEX('4'!$I$107:$I$206,MATCH($A61,'4'!$C$107:$C$206,0)),0))</f>
        <v>0</v>
      </c>
      <c r="K61" s="24" t="str">
        <f>IF($A61="","",IFERROR(INDEX('5'!$A$107:$A$206,MATCH($A61,'5'!$C$107:$C$206,0)),""))</f>
        <v/>
      </c>
      <c r="L61" s="15">
        <f>IF($A61="",0,IFERROR(INDEX('5'!$I$107:$I$206,MATCH($A61,'5'!$C$107:$C$206,0)),0))</f>
        <v>0</v>
      </c>
      <c r="M61" s="25" t="str">
        <f>IF($A61="","",D61+F61+H61+J61+L61)</f>
        <v/>
      </c>
      <c r="N61" s="26" t="str">
        <f>IF(OR($A61="",M61="",M61=0),"",RANK(M61,$M$4:$M$203,0))</f>
        <v/>
      </c>
      <c r="AA61">
        <f>Barneveld!C100</f>
        <v>0</v>
      </c>
      <c r="AB61">
        <f>IF(AA61="",0,IF(COUNTIF($AA$1:AA61,AA61)=1,1,0))</f>
        <v>0</v>
      </c>
      <c r="AC61" t="str">
        <f>IF(AB61=1,COUNTIF($AB$1:AB61,1),"")</f>
        <v/>
      </c>
    </row>
    <row r="62" spans="1:29" x14ac:dyDescent="0.25">
      <c r="A62" s="13" t="str">
        <f>IFERROR(INDEX($AA$1:$AA$400,MATCH(59,$AC$1:$AC$400,0)),"")</f>
        <v/>
      </c>
      <c r="B62" s="13" t="str">
        <f>IF($A62="","",IF(IFERROR(INDEX(Barneveld!$E$40:$E$139,MATCH($A62,Barneveld!$C$40:$C$139,0)),"")&lt;&gt;"",IFERROR(INDEX(Barneveld!$E$40:$E$139,MATCH($A62,Barneveld!$C$40:$C$139,0)),""),IF(IFERROR(INDEX(Scherpenzeel!$F$107:$F$206,MATCH($A62,Scherpenzeel!$C$107:$C$206,0)),"")&lt;&gt;"",IFERROR(INDEX(Scherpenzeel!$F$107:$F$206,MATCH($A62,Scherpenzeel!$C$107:$C$206,0)),""),IF(IFERROR(INDEX('4'!$F$107:$F$206,MATCH($A62,'4'!$C$107:$C$206,0)),"")&lt;&gt;"",IFERROR(INDEX('4'!$F$107:$F$206,MATCH($A62,'4'!$C$107:$C$206,0)),""),IFERROR(INDEX('5'!$F$107:$F$206,MATCH($A62,'5'!$C$107:$C$206,0)),"")))))</f>
        <v/>
      </c>
      <c r="C62" s="24" t="str">
        <f>IF($A62="","",IFERROR(INDEX(Barneveld!$A$40:$A$139,MATCH($A62,Barneveld!$C$40:$C$139,0)),""))</f>
        <v/>
      </c>
      <c r="D62" s="15">
        <f>IF($A62="",0,IFERROR(INDEX(Barneveld!$H$40:$H$139,MATCH($A62,Barneveld!$C$40:$C$139,0)),0))</f>
        <v>0</v>
      </c>
      <c r="E62" s="24" t="str">
        <f>""</f>
        <v/>
      </c>
      <c r="F62" s="15">
        <f>0</f>
        <v>0</v>
      </c>
      <c r="G62" s="24" t="str">
        <f>IF($A62="","",IFERROR(INDEX(Scherpenzeel!$A$107:$A$206,MATCH($A62,Scherpenzeel!$C$107:$C$206,0)),""))</f>
        <v/>
      </c>
      <c r="H62" s="15">
        <f>IF($A62="",0,IFERROR(INDEX(Scherpenzeel!$I$107:$I$206,MATCH($A62,Scherpenzeel!$C$107:$C$206,0)),0))</f>
        <v>0</v>
      </c>
      <c r="I62" s="24" t="str">
        <f>IF($A62="","",IFERROR(INDEX('4'!$A$107:$A$206,MATCH($A62,'4'!$C$107:$C$206,0)),""))</f>
        <v/>
      </c>
      <c r="J62" s="15">
        <f>IF($A62="",0,IFERROR(INDEX('4'!$I$107:$I$206,MATCH($A62,'4'!$C$107:$C$206,0)),0))</f>
        <v>0</v>
      </c>
      <c r="K62" s="24" t="str">
        <f>IF($A62="","",IFERROR(INDEX('5'!$A$107:$A$206,MATCH($A62,'5'!$C$107:$C$206,0)),""))</f>
        <v/>
      </c>
      <c r="L62" s="15">
        <f>IF($A62="",0,IFERROR(INDEX('5'!$I$107:$I$206,MATCH($A62,'5'!$C$107:$C$206,0)),0))</f>
        <v>0</v>
      </c>
      <c r="M62" s="25" t="str">
        <f>IF($A62="","",D62+F62+H62+J62+L62)</f>
        <v/>
      </c>
      <c r="N62" s="26" t="str">
        <f>IF(OR($A62="",M62="",M62=0),"",RANK(M62,$M$4:$M$203,0))</f>
        <v/>
      </c>
      <c r="AA62">
        <f>Barneveld!C101</f>
        <v>0</v>
      </c>
      <c r="AB62">
        <f>IF(AA62="",0,IF(COUNTIF($AA$1:AA62,AA62)=1,1,0))</f>
        <v>0</v>
      </c>
      <c r="AC62" t="str">
        <f>IF(AB62=1,COUNTIF($AB$1:AB62,1),"")</f>
        <v/>
      </c>
    </row>
    <row r="63" spans="1:29" x14ac:dyDescent="0.25">
      <c r="A63" s="13" t="str">
        <f>IFERROR(INDEX($AA$1:$AA$400,MATCH(60,$AC$1:$AC$400,0)),"")</f>
        <v/>
      </c>
      <c r="B63" s="13" t="str">
        <f>IF($A63="","",IF(IFERROR(INDEX(Barneveld!$E$40:$E$139,MATCH($A63,Barneveld!$C$40:$C$139,0)),"")&lt;&gt;"",IFERROR(INDEX(Barneveld!$E$40:$E$139,MATCH($A63,Barneveld!$C$40:$C$139,0)),""),IF(IFERROR(INDEX(Scherpenzeel!$F$107:$F$206,MATCH($A63,Scherpenzeel!$C$107:$C$206,0)),"")&lt;&gt;"",IFERROR(INDEX(Scherpenzeel!$F$107:$F$206,MATCH($A63,Scherpenzeel!$C$107:$C$206,0)),""),IF(IFERROR(INDEX('4'!$F$107:$F$206,MATCH($A63,'4'!$C$107:$C$206,0)),"")&lt;&gt;"",IFERROR(INDEX('4'!$F$107:$F$206,MATCH($A63,'4'!$C$107:$C$206,0)),""),IFERROR(INDEX('5'!$F$107:$F$206,MATCH($A63,'5'!$C$107:$C$206,0)),"")))))</f>
        <v/>
      </c>
      <c r="C63" s="24" t="str">
        <f>IF($A63="","",IFERROR(INDEX(Barneveld!$A$40:$A$139,MATCH($A63,Barneveld!$C$40:$C$139,0)),""))</f>
        <v/>
      </c>
      <c r="D63" s="15">
        <f>IF($A63="",0,IFERROR(INDEX(Barneveld!$H$40:$H$139,MATCH($A63,Barneveld!$C$40:$C$139,0)),0))</f>
        <v>0</v>
      </c>
      <c r="E63" s="24" t="str">
        <f>""</f>
        <v/>
      </c>
      <c r="F63" s="15">
        <f>0</f>
        <v>0</v>
      </c>
      <c r="G63" s="24" t="str">
        <f>IF($A63="","",IFERROR(INDEX(Scherpenzeel!$A$107:$A$206,MATCH($A63,Scherpenzeel!$C$107:$C$206,0)),""))</f>
        <v/>
      </c>
      <c r="H63" s="15">
        <f>IF($A63="",0,IFERROR(INDEX(Scherpenzeel!$I$107:$I$206,MATCH($A63,Scherpenzeel!$C$107:$C$206,0)),0))</f>
        <v>0</v>
      </c>
      <c r="I63" s="24" t="str">
        <f>IF($A63="","",IFERROR(INDEX('4'!$A$107:$A$206,MATCH($A63,'4'!$C$107:$C$206,0)),""))</f>
        <v/>
      </c>
      <c r="J63" s="15">
        <f>IF($A63="",0,IFERROR(INDEX('4'!$I$107:$I$206,MATCH($A63,'4'!$C$107:$C$206,0)),0))</f>
        <v>0</v>
      </c>
      <c r="K63" s="24" t="str">
        <f>IF($A63="","",IFERROR(INDEX('5'!$A$107:$A$206,MATCH($A63,'5'!$C$107:$C$206,0)),""))</f>
        <v/>
      </c>
      <c r="L63" s="15">
        <f>IF($A63="",0,IFERROR(INDEX('5'!$I$107:$I$206,MATCH($A63,'5'!$C$107:$C$206,0)),0))</f>
        <v>0</v>
      </c>
      <c r="M63" s="25" t="str">
        <f>IF($A63="","",D63+F63+H63+J63+L63)</f>
        <v/>
      </c>
      <c r="N63" s="26" t="str">
        <f>IF(OR($A63="",M63="",M63=0),"",RANK(M63,$M$4:$M$203,0))</f>
        <v/>
      </c>
      <c r="AA63">
        <f>Barneveld!C102</f>
        <v>0</v>
      </c>
      <c r="AB63">
        <f>IF(AA63="",0,IF(COUNTIF($AA$1:AA63,AA63)=1,1,0))</f>
        <v>0</v>
      </c>
      <c r="AC63" t="str">
        <f>IF(AB63=1,COUNTIF($AB$1:AB63,1),"")</f>
        <v/>
      </c>
    </row>
    <row r="64" spans="1:29" x14ac:dyDescent="0.25">
      <c r="A64" s="13" t="str">
        <f>IFERROR(INDEX($AA$1:$AA$400,MATCH(61,$AC$1:$AC$400,0)),"")</f>
        <v/>
      </c>
      <c r="B64" s="13" t="str">
        <f>IF($A64="","",IF(IFERROR(INDEX(Barneveld!$E$40:$E$139,MATCH($A64,Barneveld!$C$40:$C$139,0)),"")&lt;&gt;"",IFERROR(INDEX(Barneveld!$E$40:$E$139,MATCH($A64,Barneveld!$C$40:$C$139,0)),""),IF(IFERROR(INDEX(Scherpenzeel!$F$107:$F$206,MATCH($A64,Scherpenzeel!$C$107:$C$206,0)),"")&lt;&gt;"",IFERROR(INDEX(Scherpenzeel!$F$107:$F$206,MATCH($A64,Scherpenzeel!$C$107:$C$206,0)),""),IF(IFERROR(INDEX('4'!$F$107:$F$206,MATCH($A64,'4'!$C$107:$C$206,0)),"")&lt;&gt;"",IFERROR(INDEX('4'!$F$107:$F$206,MATCH($A64,'4'!$C$107:$C$206,0)),""),IFERROR(INDEX('5'!$F$107:$F$206,MATCH($A64,'5'!$C$107:$C$206,0)),"")))))</f>
        <v/>
      </c>
      <c r="C64" s="24" t="str">
        <f>IF($A64="","",IFERROR(INDEX(Barneveld!$A$40:$A$139,MATCH($A64,Barneveld!$C$40:$C$139,0)),""))</f>
        <v/>
      </c>
      <c r="D64" s="15">
        <f>IF($A64="",0,IFERROR(INDEX(Barneveld!$H$40:$H$139,MATCH($A64,Barneveld!$C$40:$C$139,0)),0))</f>
        <v>0</v>
      </c>
      <c r="E64" s="24" t="str">
        <f>""</f>
        <v/>
      </c>
      <c r="F64" s="15">
        <f>0</f>
        <v>0</v>
      </c>
      <c r="G64" s="24" t="str">
        <f>IF($A64="","",IFERROR(INDEX(Scherpenzeel!$A$107:$A$206,MATCH($A64,Scherpenzeel!$C$107:$C$206,0)),""))</f>
        <v/>
      </c>
      <c r="H64" s="15">
        <f>IF($A64="",0,IFERROR(INDEX(Scherpenzeel!$I$107:$I$206,MATCH($A64,Scherpenzeel!$C$107:$C$206,0)),0))</f>
        <v>0</v>
      </c>
      <c r="I64" s="24" t="str">
        <f>IF($A64="","",IFERROR(INDEX('4'!$A$107:$A$206,MATCH($A64,'4'!$C$107:$C$206,0)),""))</f>
        <v/>
      </c>
      <c r="J64" s="15">
        <f>IF($A64="",0,IFERROR(INDEX('4'!$I$107:$I$206,MATCH($A64,'4'!$C$107:$C$206,0)),0))</f>
        <v>0</v>
      </c>
      <c r="K64" s="24" t="str">
        <f>IF($A64="","",IFERROR(INDEX('5'!$A$107:$A$206,MATCH($A64,'5'!$C$107:$C$206,0)),""))</f>
        <v/>
      </c>
      <c r="L64" s="15">
        <f>IF($A64="",0,IFERROR(INDEX('5'!$I$107:$I$206,MATCH($A64,'5'!$C$107:$C$206,0)),0))</f>
        <v>0</v>
      </c>
      <c r="M64" s="25" t="str">
        <f>IF($A64="","",D64+F64+H64+J64+L64)</f>
        <v/>
      </c>
      <c r="N64" s="26" t="str">
        <f>IF(OR($A64="",M64="",M64=0),"",RANK(M64,$M$4:$M$203,0))</f>
        <v/>
      </c>
      <c r="AA64">
        <f>Barneveld!C103</f>
        <v>0</v>
      </c>
      <c r="AB64">
        <f>IF(AA64="",0,IF(COUNTIF($AA$1:AA64,AA64)=1,1,0))</f>
        <v>0</v>
      </c>
      <c r="AC64" t="str">
        <f>IF(AB64=1,COUNTIF($AB$1:AB64,1),"")</f>
        <v/>
      </c>
    </row>
    <row r="65" spans="1:29" x14ac:dyDescent="0.25">
      <c r="A65" s="13" t="str">
        <f>IFERROR(INDEX($AA$1:$AA$400,MATCH(62,$AC$1:$AC$400,0)),"")</f>
        <v/>
      </c>
      <c r="B65" s="13" t="str">
        <f>IF($A65="","",IF(IFERROR(INDEX(Barneveld!$E$40:$E$139,MATCH($A65,Barneveld!$C$40:$C$139,0)),"")&lt;&gt;"",IFERROR(INDEX(Barneveld!$E$40:$E$139,MATCH($A65,Barneveld!$C$40:$C$139,0)),""),IF(IFERROR(INDEX(Scherpenzeel!$F$107:$F$206,MATCH($A65,Scherpenzeel!$C$107:$C$206,0)),"")&lt;&gt;"",IFERROR(INDEX(Scherpenzeel!$F$107:$F$206,MATCH($A65,Scherpenzeel!$C$107:$C$206,0)),""),IF(IFERROR(INDEX('4'!$F$107:$F$206,MATCH($A65,'4'!$C$107:$C$206,0)),"")&lt;&gt;"",IFERROR(INDEX('4'!$F$107:$F$206,MATCH($A65,'4'!$C$107:$C$206,0)),""),IFERROR(INDEX('5'!$F$107:$F$206,MATCH($A65,'5'!$C$107:$C$206,0)),"")))))</f>
        <v/>
      </c>
      <c r="C65" s="24" t="str">
        <f>IF($A65="","",IFERROR(INDEX(Barneveld!$A$40:$A$139,MATCH($A65,Barneveld!$C$40:$C$139,0)),""))</f>
        <v/>
      </c>
      <c r="D65" s="15">
        <f>IF($A65="",0,IFERROR(INDEX(Barneveld!$H$40:$H$139,MATCH($A65,Barneveld!$C$40:$C$139,0)),0))</f>
        <v>0</v>
      </c>
      <c r="E65" s="24" t="str">
        <f>""</f>
        <v/>
      </c>
      <c r="F65" s="15">
        <f>0</f>
        <v>0</v>
      </c>
      <c r="G65" s="24" t="str">
        <f>IF($A65="","",IFERROR(INDEX(Scherpenzeel!$A$107:$A$206,MATCH($A65,Scherpenzeel!$C$107:$C$206,0)),""))</f>
        <v/>
      </c>
      <c r="H65" s="15">
        <f>IF($A65="",0,IFERROR(INDEX(Scherpenzeel!$I$107:$I$206,MATCH($A65,Scherpenzeel!$C$107:$C$206,0)),0))</f>
        <v>0</v>
      </c>
      <c r="I65" s="24" t="str">
        <f>IF($A65="","",IFERROR(INDEX('4'!$A$107:$A$206,MATCH($A65,'4'!$C$107:$C$206,0)),""))</f>
        <v/>
      </c>
      <c r="J65" s="15">
        <f>IF($A65="",0,IFERROR(INDEX('4'!$I$107:$I$206,MATCH($A65,'4'!$C$107:$C$206,0)),0))</f>
        <v>0</v>
      </c>
      <c r="K65" s="24" t="str">
        <f>IF($A65="","",IFERROR(INDEX('5'!$A$107:$A$206,MATCH($A65,'5'!$C$107:$C$206,0)),""))</f>
        <v/>
      </c>
      <c r="L65" s="15">
        <f>IF($A65="",0,IFERROR(INDEX('5'!$I$107:$I$206,MATCH($A65,'5'!$C$107:$C$206,0)),0))</f>
        <v>0</v>
      </c>
      <c r="M65" s="25" t="str">
        <f>IF($A65="","",D65+F65+H65+J65+L65)</f>
        <v/>
      </c>
      <c r="N65" s="26" t="str">
        <f>IF(OR($A65="",M65="",M65=0),"",RANK(M65,$M$4:$M$203,0))</f>
        <v/>
      </c>
      <c r="AA65">
        <f>Barneveld!C104</f>
        <v>0</v>
      </c>
      <c r="AB65">
        <f>IF(AA65="",0,IF(COUNTIF($AA$1:AA65,AA65)=1,1,0))</f>
        <v>0</v>
      </c>
      <c r="AC65" t="str">
        <f>IF(AB65=1,COUNTIF($AB$1:AB65,1),"")</f>
        <v/>
      </c>
    </row>
    <row r="66" spans="1:29" x14ac:dyDescent="0.25">
      <c r="A66" s="13" t="str">
        <f>IFERROR(INDEX($AA$1:$AA$400,MATCH(63,$AC$1:$AC$400,0)),"")</f>
        <v/>
      </c>
      <c r="B66" s="13" t="str">
        <f>IF($A66="","",IF(IFERROR(INDEX(Barneveld!$E$40:$E$139,MATCH($A66,Barneveld!$C$40:$C$139,0)),"")&lt;&gt;"",IFERROR(INDEX(Barneveld!$E$40:$E$139,MATCH($A66,Barneveld!$C$40:$C$139,0)),""),IF(IFERROR(INDEX(Scherpenzeel!$F$107:$F$206,MATCH($A66,Scherpenzeel!$C$107:$C$206,0)),"")&lt;&gt;"",IFERROR(INDEX(Scherpenzeel!$F$107:$F$206,MATCH($A66,Scherpenzeel!$C$107:$C$206,0)),""),IF(IFERROR(INDEX('4'!$F$107:$F$206,MATCH($A66,'4'!$C$107:$C$206,0)),"")&lt;&gt;"",IFERROR(INDEX('4'!$F$107:$F$206,MATCH($A66,'4'!$C$107:$C$206,0)),""),IFERROR(INDEX('5'!$F$107:$F$206,MATCH($A66,'5'!$C$107:$C$206,0)),"")))))</f>
        <v/>
      </c>
      <c r="C66" s="24" t="str">
        <f>IF($A66="","",IFERROR(INDEX(Barneveld!$A$40:$A$139,MATCH($A66,Barneveld!$C$40:$C$139,0)),""))</f>
        <v/>
      </c>
      <c r="D66" s="15">
        <f>IF($A66="",0,IFERROR(INDEX(Barneveld!$H$40:$H$139,MATCH($A66,Barneveld!$C$40:$C$139,0)),0))</f>
        <v>0</v>
      </c>
      <c r="E66" s="24" t="str">
        <f>""</f>
        <v/>
      </c>
      <c r="F66" s="15">
        <f>0</f>
        <v>0</v>
      </c>
      <c r="G66" s="24" t="str">
        <f>IF($A66="","",IFERROR(INDEX(Scherpenzeel!$A$107:$A$206,MATCH($A66,Scherpenzeel!$C$107:$C$206,0)),""))</f>
        <v/>
      </c>
      <c r="H66" s="15">
        <f>IF($A66="",0,IFERROR(INDEX(Scherpenzeel!$I$107:$I$206,MATCH($A66,Scherpenzeel!$C$107:$C$206,0)),0))</f>
        <v>0</v>
      </c>
      <c r="I66" s="24" t="str">
        <f>IF($A66="","",IFERROR(INDEX('4'!$A$107:$A$206,MATCH($A66,'4'!$C$107:$C$206,0)),""))</f>
        <v/>
      </c>
      <c r="J66" s="15">
        <f>IF($A66="",0,IFERROR(INDEX('4'!$I$107:$I$206,MATCH($A66,'4'!$C$107:$C$206,0)),0))</f>
        <v>0</v>
      </c>
      <c r="K66" s="24" t="str">
        <f>IF($A66="","",IFERROR(INDEX('5'!$A$107:$A$206,MATCH($A66,'5'!$C$107:$C$206,0)),""))</f>
        <v/>
      </c>
      <c r="L66" s="15">
        <f>IF($A66="",0,IFERROR(INDEX('5'!$I$107:$I$206,MATCH($A66,'5'!$C$107:$C$206,0)),0))</f>
        <v>0</v>
      </c>
      <c r="M66" s="25" t="str">
        <f>IF($A66="","",D66+F66+H66+J66+L66)</f>
        <v/>
      </c>
      <c r="N66" s="26" t="str">
        <f>IF(OR($A66="",M66="",M66=0),"",RANK(M66,$M$4:$M$203,0))</f>
        <v/>
      </c>
      <c r="AA66">
        <f>Barneveld!C105</f>
        <v>0</v>
      </c>
      <c r="AB66">
        <f>IF(AA66="",0,IF(COUNTIF($AA$1:AA66,AA66)=1,1,0))</f>
        <v>0</v>
      </c>
      <c r="AC66" t="str">
        <f>IF(AB66=1,COUNTIF($AB$1:AB66,1),"")</f>
        <v/>
      </c>
    </row>
    <row r="67" spans="1:29" x14ac:dyDescent="0.25">
      <c r="A67" s="13" t="str">
        <f>IFERROR(INDEX($AA$1:$AA$400,MATCH(64,$AC$1:$AC$400,0)),"")</f>
        <v/>
      </c>
      <c r="B67" s="13" t="str">
        <f>IF($A67="","",IF(IFERROR(INDEX(Barneveld!$E$40:$E$139,MATCH($A67,Barneveld!$C$40:$C$139,0)),"")&lt;&gt;"",IFERROR(INDEX(Barneveld!$E$40:$E$139,MATCH($A67,Barneveld!$C$40:$C$139,0)),""),IF(IFERROR(INDEX(Scherpenzeel!$F$107:$F$206,MATCH($A67,Scherpenzeel!$C$107:$C$206,0)),"")&lt;&gt;"",IFERROR(INDEX(Scherpenzeel!$F$107:$F$206,MATCH($A67,Scherpenzeel!$C$107:$C$206,0)),""),IF(IFERROR(INDEX('4'!$F$107:$F$206,MATCH($A67,'4'!$C$107:$C$206,0)),"")&lt;&gt;"",IFERROR(INDEX('4'!$F$107:$F$206,MATCH($A67,'4'!$C$107:$C$206,0)),""),IFERROR(INDEX('5'!$F$107:$F$206,MATCH($A67,'5'!$C$107:$C$206,0)),"")))))</f>
        <v/>
      </c>
      <c r="C67" s="24" t="str">
        <f>IF($A67="","",IFERROR(INDEX(Barneveld!$A$40:$A$139,MATCH($A67,Barneveld!$C$40:$C$139,0)),""))</f>
        <v/>
      </c>
      <c r="D67" s="15">
        <f>IF($A67="",0,IFERROR(INDEX(Barneveld!$H$40:$H$139,MATCH($A67,Barneveld!$C$40:$C$139,0)),0))</f>
        <v>0</v>
      </c>
      <c r="E67" s="24" t="str">
        <f>""</f>
        <v/>
      </c>
      <c r="F67" s="15">
        <f>0</f>
        <v>0</v>
      </c>
      <c r="G67" s="24" t="str">
        <f>IF($A67="","",IFERROR(INDEX(Scherpenzeel!$A$107:$A$206,MATCH($A67,Scherpenzeel!$C$107:$C$206,0)),""))</f>
        <v/>
      </c>
      <c r="H67" s="15">
        <f>IF($A67="",0,IFERROR(INDEX(Scherpenzeel!$I$107:$I$206,MATCH($A67,Scherpenzeel!$C$107:$C$206,0)),0))</f>
        <v>0</v>
      </c>
      <c r="I67" s="24" t="str">
        <f>IF($A67="","",IFERROR(INDEX('4'!$A$107:$A$206,MATCH($A67,'4'!$C$107:$C$206,0)),""))</f>
        <v/>
      </c>
      <c r="J67" s="15">
        <f>IF($A67="",0,IFERROR(INDEX('4'!$I$107:$I$206,MATCH($A67,'4'!$C$107:$C$206,0)),0))</f>
        <v>0</v>
      </c>
      <c r="K67" s="24" t="str">
        <f>IF($A67="","",IFERROR(INDEX('5'!$A$107:$A$206,MATCH($A67,'5'!$C$107:$C$206,0)),""))</f>
        <v/>
      </c>
      <c r="L67" s="15">
        <f>IF($A67="",0,IFERROR(INDEX('5'!$I$107:$I$206,MATCH($A67,'5'!$C$107:$C$206,0)),0))</f>
        <v>0</v>
      </c>
      <c r="M67" s="25" t="str">
        <f>IF($A67="","",D67+F67+H67+J67+L67)</f>
        <v/>
      </c>
      <c r="N67" s="26" t="str">
        <f>IF(OR($A67="",M67="",M67=0),"",RANK(M67,$M$4:$M$203,0))</f>
        <v/>
      </c>
      <c r="AA67">
        <f>Barneveld!C106</f>
        <v>0</v>
      </c>
      <c r="AB67">
        <f>IF(AA67="",0,IF(COUNTIF($AA$1:AA67,AA67)=1,1,0))</f>
        <v>0</v>
      </c>
      <c r="AC67" t="str">
        <f>IF(AB67=1,COUNTIF($AB$1:AB67,1),"")</f>
        <v/>
      </c>
    </row>
    <row r="68" spans="1:29" x14ac:dyDescent="0.25">
      <c r="A68" s="13" t="str">
        <f>IFERROR(INDEX($AA$1:$AA$400,MATCH(65,$AC$1:$AC$400,0)),"")</f>
        <v/>
      </c>
      <c r="B68" s="13" t="str">
        <f>IF($A68="","",IF(IFERROR(INDEX(Barneveld!$E$40:$E$139,MATCH($A68,Barneveld!$C$40:$C$139,0)),"")&lt;&gt;"",IFERROR(INDEX(Barneveld!$E$40:$E$139,MATCH($A68,Barneveld!$C$40:$C$139,0)),""),IF(IFERROR(INDEX(Scherpenzeel!$F$107:$F$206,MATCH($A68,Scherpenzeel!$C$107:$C$206,0)),"")&lt;&gt;"",IFERROR(INDEX(Scherpenzeel!$F$107:$F$206,MATCH($A68,Scherpenzeel!$C$107:$C$206,0)),""),IF(IFERROR(INDEX('4'!$F$107:$F$206,MATCH($A68,'4'!$C$107:$C$206,0)),"")&lt;&gt;"",IFERROR(INDEX('4'!$F$107:$F$206,MATCH($A68,'4'!$C$107:$C$206,0)),""),IFERROR(INDEX('5'!$F$107:$F$206,MATCH($A68,'5'!$C$107:$C$206,0)),"")))))</f>
        <v/>
      </c>
      <c r="C68" s="24" t="str">
        <f>IF($A68="","",IFERROR(INDEX(Barneveld!$A$40:$A$139,MATCH($A68,Barneveld!$C$40:$C$139,0)),""))</f>
        <v/>
      </c>
      <c r="D68" s="15">
        <f>IF($A68="",0,IFERROR(INDEX(Barneveld!$H$40:$H$139,MATCH($A68,Barneveld!$C$40:$C$139,0)),0))</f>
        <v>0</v>
      </c>
      <c r="E68" s="24" t="str">
        <f>""</f>
        <v/>
      </c>
      <c r="F68" s="15">
        <f>0</f>
        <v>0</v>
      </c>
      <c r="G68" s="24" t="str">
        <f>IF($A68="","",IFERROR(INDEX(Scherpenzeel!$A$107:$A$206,MATCH($A68,Scherpenzeel!$C$107:$C$206,0)),""))</f>
        <v/>
      </c>
      <c r="H68" s="15">
        <f>IF($A68="",0,IFERROR(INDEX(Scherpenzeel!$I$107:$I$206,MATCH($A68,Scherpenzeel!$C$107:$C$206,0)),0))</f>
        <v>0</v>
      </c>
      <c r="I68" s="24" t="str">
        <f>IF($A68="","",IFERROR(INDEX('4'!$A$107:$A$206,MATCH($A68,'4'!$C$107:$C$206,0)),""))</f>
        <v/>
      </c>
      <c r="J68" s="15">
        <f>IF($A68="",0,IFERROR(INDEX('4'!$I$107:$I$206,MATCH($A68,'4'!$C$107:$C$206,0)),0))</f>
        <v>0</v>
      </c>
      <c r="K68" s="24" t="str">
        <f>IF($A68="","",IFERROR(INDEX('5'!$A$107:$A$206,MATCH($A68,'5'!$C$107:$C$206,0)),""))</f>
        <v/>
      </c>
      <c r="L68" s="15">
        <f>IF($A68="",0,IFERROR(INDEX('5'!$I$107:$I$206,MATCH($A68,'5'!$C$107:$C$206,0)),0))</f>
        <v>0</v>
      </c>
      <c r="M68" s="25" t="str">
        <f>IF($A68="","",D68+F68+H68+J68+L68)</f>
        <v/>
      </c>
      <c r="N68" s="26" t="str">
        <f>IF(OR($A68="",M68="",M68=0),"",RANK(M68,$M$4:$M$203,0))</f>
        <v/>
      </c>
      <c r="AA68">
        <f>Barneveld!C107</f>
        <v>0</v>
      </c>
      <c r="AB68">
        <f>IF(AA68="",0,IF(COUNTIF($AA$1:AA68,AA68)=1,1,0))</f>
        <v>0</v>
      </c>
      <c r="AC68" t="str">
        <f>IF(AB68=1,COUNTIF($AB$1:AB68,1),"")</f>
        <v/>
      </c>
    </row>
    <row r="69" spans="1:29" x14ac:dyDescent="0.25">
      <c r="A69" s="13" t="str">
        <f>IFERROR(INDEX($AA$1:$AA$400,MATCH(66,$AC$1:$AC$400,0)),"")</f>
        <v/>
      </c>
      <c r="B69" s="13" t="str">
        <f>IF($A69="","",IF(IFERROR(INDEX(Barneveld!$E$40:$E$139,MATCH($A69,Barneveld!$C$40:$C$139,0)),"")&lt;&gt;"",IFERROR(INDEX(Barneveld!$E$40:$E$139,MATCH($A69,Barneveld!$C$40:$C$139,0)),""),IF(IFERROR(INDEX(Scherpenzeel!$F$107:$F$206,MATCH($A69,Scherpenzeel!$C$107:$C$206,0)),"")&lt;&gt;"",IFERROR(INDEX(Scherpenzeel!$F$107:$F$206,MATCH($A69,Scherpenzeel!$C$107:$C$206,0)),""),IF(IFERROR(INDEX('4'!$F$107:$F$206,MATCH($A69,'4'!$C$107:$C$206,0)),"")&lt;&gt;"",IFERROR(INDEX('4'!$F$107:$F$206,MATCH($A69,'4'!$C$107:$C$206,0)),""),IFERROR(INDEX('5'!$F$107:$F$206,MATCH($A69,'5'!$C$107:$C$206,0)),"")))))</f>
        <v/>
      </c>
      <c r="C69" s="24" t="str">
        <f>IF($A69="","",IFERROR(INDEX(Barneveld!$A$40:$A$139,MATCH($A69,Barneveld!$C$40:$C$139,0)),""))</f>
        <v/>
      </c>
      <c r="D69" s="15">
        <f>IF($A69="",0,IFERROR(INDEX(Barneveld!$H$40:$H$139,MATCH($A69,Barneveld!$C$40:$C$139,0)),0))</f>
        <v>0</v>
      </c>
      <c r="E69" s="24" t="str">
        <f>""</f>
        <v/>
      </c>
      <c r="F69" s="15">
        <f>0</f>
        <v>0</v>
      </c>
      <c r="G69" s="24" t="str">
        <f>IF($A69="","",IFERROR(INDEX(Scherpenzeel!$A$107:$A$206,MATCH($A69,Scherpenzeel!$C$107:$C$206,0)),""))</f>
        <v/>
      </c>
      <c r="H69" s="15">
        <f>IF($A69="",0,IFERROR(INDEX(Scherpenzeel!$I$107:$I$206,MATCH($A69,Scherpenzeel!$C$107:$C$206,0)),0))</f>
        <v>0</v>
      </c>
      <c r="I69" s="24" t="str">
        <f>IF($A69="","",IFERROR(INDEX('4'!$A$107:$A$206,MATCH($A69,'4'!$C$107:$C$206,0)),""))</f>
        <v/>
      </c>
      <c r="J69" s="15">
        <f>IF($A69="",0,IFERROR(INDEX('4'!$I$107:$I$206,MATCH($A69,'4'!$C$107:$C$206,0)),0))</f>
        <v>0</v>
      </c>
      <c r="K69" s="24" t="str">
        <f>IF($A69="","",IFERROR(INDEX('5'!$A$107:$A$206,MATCH($A69,'5'!$C$107:$C$206,0)),""))</f>
        <v/>
      </c>
      <c r="L69" s="15">
        <f>IF($A69="",0,IFERROR(INDEX('5'!$I$107:$I$206,MATCH($A69,'5'!$C$107:$C$206,0)),0))</f>
        <v>0</v>
      </c>
      <c r="M69" s="25" t="str">
        <f>IF($A69="","",D69+F69+H69+J69+L69)</f>
        <v/>
      </c>
      <c r="N69" s="26" t="str">
        <f>IF(OR($A69="",M69="",M69=0),"",RANK(M69,$M$4:$M$203,0))</f>
        <v/>
      </c>
      <c r="AA69">
        <f>Barneveld!C108</f>
        <v>0</v>
      </c>
      <c r="AB69">
        <f>IF(AA69="",0,IF(COUNTIF($AA$1:AA69,AA69)=1,1,0))</f>
        <v>0</v>
      </c>
      <c r="AC69" t="str">
        <f>IF(AB69=1,COUNTIF($AB$1:AB69,1),"")</f>
        <v/>
      </c>
    </row>
    <row r="70" spans="1:29" x14ac:dyDescent="0.25">
      <c r="A70" s="13" t="str">
        <f>IFERROR(INDEX($AA$1:$AA$400,MATCH(67,$AC$1:$AC$400,0)),"")</f>
        <v/>
      </c>
      <c r="B70" s="13" t="str">
        <f>IF($A70="","",IF(IFERROR(INDEX(Barneveld!$E$40:$E$139,MATCH($A70,Barneveld!$C$40:$C$139,0)),"")&lt;&gt;"",IFERROR(INDEX(Barneveld!$E$40:$E$139,MATCH($A70,Barneveld!$C$40:$C$139,0)),""),IF(IFERROR(INDEX(Scherpenzeel!$F$107:$F$206,MATCH($A70,Scherpenzeel!$C$107:$C$206,0)),"")&lt;&gt;"",IFERROR(INDEX(Scherpenzeel!$F$107:$F$206,MATCH($A70,Scherpenzeel!$C$107:$C$206,0)),""),IF(IFERROR(INDEX('4'!$F$107:$F$206,MATCH($A70,'4'!$C$107:$C$206,0)),"")&lt;&gt;"",IFERROR(INDEX('4'!$F$107:$F$206,MATCH($A70,'4'!$C$107:$C$206,0)),""),IFERROR(INDEX('5'!$F$107:$F$206,MATCH($A70,'5'!$C$107:$C$206,0)),"")))))</f>
        <v/>
      </c>
      <c r="C70" s="24" t="str">
        <f>IF($A70="","",IFERROR(INDEX(Barneveld!$A$40:$A$139,MATCH($A70,Barneveld!$C$40:$C$139,0)),""))</f>
        <v/>
      </c>
      <c r="D70" s="15">
        <f>IF($A70="",0,IFERROR(INDEX(Barneveld!$H$40:$H$139,MATCH($A70,Barneveld!$C$40:$C$139,0)),0))</f>
        <v>0</v>
      </c>
      <c r="E70" s="24" t="str">
        <f>""</f>
        <v/>
      </c>
      <c r="F70" s="15">
        <f>0</f>
        <v>0</v>
      </c>
      <c r="G70" s="24" t="str">
        <f>IF($A70="","",IFERROR(INDEX(Scherpenzeel!$A$107:$A$206,MATCH($A70,Scherpenzeel!$C$107:$C$206,0)),""))</f>
        <v/>
      </c>
      <c r="H70" s="15">
        <f>IF($A70="",0,IFERROR(INDEX(Scherpenzeel!$I$107:$I$206,MATCH($A70,Scherpenzeel!$C$107:$C$206,0)),0))</f>
        <v>0</v>
      </c>
      <c r="I70" s="24" t="str">
        <f>IF($A70="","",IFERROR(INDEX('4'!$A$107:$A$206,MATCH($A70,'4'!$C$107:$C$206,0)),""))</f>
        <v/>
      </c>
      <c r="J70" s="15">
        <f>IF($A70="",0,IFERROR(INDEX('4'!$I$107:$I$206,MATCH($A70,'4'!$C$107:$C$206,0)),0))</f>
        <v>0</v>
      </c>
      <c r="K70" s="24" t="str">
        <f>IF($A70="","",IFERROR(INDEX('5'!$A$107:$A$206,MATCH($A70,'5'!$C$107:$C$206,0)),""))</f>
        <v/>
      </c>
      <c r="L70" s="15">
        <f>IF($A70="",0,IFERROR(INDEX('5'!$I$107:$I$206,MATCH($A70,'5'!$C$107:$C$206,0)),0))</f>
        <v>0</v>
      </c>
      <c r="M70" s="25" t="str">
        <f>IF($A70="","",D70+F70+H70+J70+L70)</f>
        <v/>
      </c>
      <c r="N70" s="26" t="str">
        <f>IF(OR($A70="",M70="",M70=0),"",RANK(M70,$M$4:$M$203,0))</f>
        <v/>
      </c>
      <c r="AA70">
        <f>Barneveld!C109</f>
        <v>0</v>
      </c>
      <c r="AB70">
        <f>IF(AA70="",0,IF(COUNTIF($AA$1:AA70,AA70)=1,1,0))</f>
        <v>0</v>
      </c>
      <c r="AC70" t="str">
        <f>IF(AB70=1,COUNTIF($AB$1:AB70,1),"")</f>
        <v/>
      </c>
    </row>
    <row r="71" spans="1:29" x14ac:dyDescent="0.25">
      <c r="A71" s="13" t="str">
        <f>IFERROR(INDEX($AA$1:$AA$400,MATCH(68,$AC$1:$AC$400,0)),"")</f>
        <v/>
      </c>
      <c r="B71" s="13" t="str">
        <f>IF($A71="","",IF(IFERROR(INDEX(Barneveld!$E$40:$E$139,MATCH($A71,Barneveld!$C$40:$C$139,0)),"")&lt;&gt;"",IFERROR(INDEX(Barneveld!$E$40:$E$139,MATCH($A71,Barneveld!$C$40:$C$139,0)),""),IF(IFERROR(INDEX(Scherpenzeel!$F$107:$F$206,MATCH($A71,Scherpenzeel!$C$107:$C$206,0)),"")&lt;&gt;"",IFERROR(INDEX(Scherpenzeel!$F$107:$F$206,MATCH($A71,Scherpenzeel!$C$107:$C$206,0)),""),IF(IFERROR(INDEX('4'!$F$107:$F$206,MATCH($A71,'4'!$C$107:$C$206,0)),"")&lt;&gt;"",IFERROR(INDEX('4'!$F$107:$F$206,MATCH($A71,'4'!$C$107:$C$206,0)),""),IFERROR(INDEX('5'!$F$107:$F$206,MATCH($A71,'5'!$C$107:$C$206,0)),"")))))</f>
        <v/>
      </c>
      <c r="C71" s="24" t="str">
        <f>IF($A71="","",IFERROR(INDEX(Barneveld!$A$40:$A$139,MATCH($A71,Barneveld!$C$40:$C$139,0)),""))</f>
        <v/>
      </c>
      <c r="D71" s="15">
        <f>IF($A71="",0,IFERROR(INDEX(Barneveld!$H$40:$H$139,MATCH($A71,Barneveld!$C$40:$C$139,0)),0))</f>
        <v>0</v>
      </c>
      <c r="E71" s="24" t="str">
        <f>""</f>
        <v/>
      </c>
      <c r="F71" s="15">
        <f>0</f>
        <v>0</v>
      </c>
      <c r="G71" s="24" t="str">
        <f>IF($A71="","",IFERROR(INDEX(Scherpenzeel!$A$107:$A$206,MATCH($A71,Scherpenzeel!$C$107:$C$206,0)),""))</f>
        <v/>
      </c>
      <c r="H71" s="15">
        <f>IF($A71="",0,IFERROR(INDEX(Scherpenzeel!$I$107:$I$206,MATCH($A71,Scherpenzeel!$C$107:$C$206,0)),0))</f>
        <v>0</v>
      </c>
      <c r="I71" s="24" t="str">
        <f>IF($A71="","",IFERROR(INDEX('4'!$A$107:$A$206,MATCH($A71,'4'!$C$107:$C$206,0)),""))</f>
        <v/>
      </c>
      <c r="J71" s="15">
        <f>IF($A71="",0,IFERROR(INDEX('4'!$I$107:$I$206,MATCH($A71,'4'!$C$107:$C$206,0)),0))</f>
        <v>0</v>
      </c>
      <c r="K71" s="24" t="str">
        <f>IF($A71="","",IFERROR(INDEX('5'!$A$107:$A$206,MATCH($A71,'5'!$C$107:$C$206,0)),""))</f>
        <v/>
      </c>
      <c r="L71" s="15">
        <f>IF($A71="",0,IFERROR(INDEX('5'!$I$107:$I$206,MATCH($A71,'5'!$C$107:$C$206,0)),0))</f>
        <v>0</v>
      </c>
      <c r="M71" s="25" t="str">
        <f>IF($A71="","",D71+F71+H71+J71+L71)</f>
        <v/>
      </c>
      <c r="N71" s="26" t="str">
        <f>IF(OR($A71="",M71="",M71=0),"",RANK(M71,$M$4:$M$203,0))</f>
        <v/>
      </c>
      <c r="AA71">
        <f>Barneveld!C110</f>
        <v>0</v>
      </c>
      <c r="AB71">
        <f>IF(AA71="",0,IF(COUNTIF($AA$1:AA71,AA71)=1,1,0))</f>
        <v>0</v>
      </c>
      <c r="AC71" t="str">
        <f>IF(AB71=1,COUNTIF($AB$1:AB71,1),"")</f>
        <v/>
      </c>
    </row>
    <row r="72" spans="1:29" x14ac:dyDescent="0.25">
      <c r="A72" s="13" t="str">
        <f>IFERROR(INDEX($AA$1:$AA$400,MATCH(69,$AC$1:$AC$400,0)),"")</f>
        <v/>
      </c>
      <c r="B72" s="13" t="str">
        <f>IF($A72="","",IF(IFERROR(INDEX(Barneveld!$E$40:$E$139,MATCH($A72,Barneveld!$C$40:$C$139,0)),"")&lt;&gt;"",IFERROR(INDEX(Barneveld!$E$40:$E$139,MATCH($A72,Barneveld!$C$40:$C$139,0)),""),IF(IFERROR(INDEX(Scherpenzeel!$F$107:$F$206,MATCH($A72,Scherpenzeel!$C$107:$C$206,0)),"")&lt;&gt;"",IFERROR(INDEX(Scherpenzeel!$F$107:$F$206,MATCH($A72,Scherpenzeel!$C$107:$C$206,0)),""),IF(IFERROR(INDEX('4'!$F$107:$F$206,MATCH($A72,'4'!$C$107:$C$206,0)),"")&lt;&gt;"",IFERROR(INDEX('4'!$F$107:$F$206,MATCH($A72,'4'!$C$107:$C$206,0)),""),IFERROR(INDEX('5'!$F$107:$F$206,MATCH($A72,'5'!$C$107:$C$206,0)),"")))))</f>
        <v/>
      </c>
      <c r="C72" s="24" t="str">
        <f>IF($A72="","",IFERROR(INDEX(Barneveld!$A$40:$A$139,MATCH($A72,Barneveld!$C$40:$C$139,0)),""))</f>
        <v/>
      </c>
      <c r="D72" s="15">
        <f>IF($A72="",0,IFERROR(INDEX(Barneveld!$H$40:$H$139,MATCH($A72,Barneveld!$C$40:$C$139,0)),0))</f>
        <v>0</v>
      </c>
      <c r="E72" s="24" t="str">
        <f>""</f>
        <v/>
      </c>
      <c r="F72" s="15">
        <f>0</f>
        <v>0</v>
      </c>
      <c r="G72" s="24" t="str">
        <f>IF($A72="","",IFERROR(INDEX(Scherpenzeel!$A$107:$A$206,MATCH($A72,Scherpenzeel!$C$107:$C$206,0)),""))</f>
        <v/>
      </c>
      <c r="H72" s="15">
        <f>IF($A72="",0,IFERROR(INDEX(Scherpenzeel!$I$107:$I$206,MATCH($A72,Scherpenzeel!$C$107:$C$206,0)),0))</f>
        <v>0</v>
      </c>
      <c r="I72" s="24" t="str">
        <f>IF($A72="","",IFERROR(INDEX('4'!$A$107:$A$206,MATCH($A72,'4'!$C$107:$C$206,0)),""))</f>
        <v/>
      </c>
      <c r="J72" s="15">
        <f>IF($A72="",0,IFERROR(INDEX('4'!$I$107:$I$206,MATCH($A72,'4'!$C$107:$C$206,0)),0))</f>
        <v>0</v>
      </c>
      <c r="K72" s="24" t="str">
        <f>IF($A72="","",IFERROR(INDEX('5'!$A$107:$A$206,MATCH($A72,'5'!$C$107:$C$206,0)),""))</f>
        <v/>
      </c>
      <c r="L72" s="15">
        <f>IF($A72="",0,IFERROR(INDEX('5'!$I$107:$I$206,MATCH($A72,'5'!$C$107:$C$206,0)),0))</f>
        <v>0</v>
      </c>
      <c r="M72" s="25" t="str">
        <f>IF($A72="","",D72+F72+H72+J72+L72)</f>
        <v/>
      </c>
      <c r="N72" s="26" t="str">
        <f>IF(OR($A72="",M72="",M72=0),"",RANK(M72,$M$4:$M$203,0))</f>
        <v/>
      </c>
      <c r="AA72">
        <f>Barneveld!C111</f>
        <v>0</v>
      </c>
      <c r="AB72">
        <f>IF(AA72="",0,IF(COUNTIF($AA$1:AA72,AA72)=1,1,0))</f>
        <v>0</v>
      </c>
      <c r="AC72" t="str">
        <f>IF(AB72=1,COUNTIF($AB$1:AB72,1),"")</f>
        <v/>
      </c>
    </row>
    <row r="73" spans="1:29" x14ac:dyDescent="0.25">
      <c r="A73" s="13" t="str">
        <f>IFERROR(INDEX($AA$1:$AA$400,MATCH(70,$AC$1:$AC$400,0)),"")</f>
        <v/>
      </c>
      <c r="B73" s="13" t="str">
        <f>IF($A73="","",IF(IFERROR(INDEX(Barneveld!$E$40:$E$139,MATCH($A73,Barneveld!$C$40:$C$139,0)),"")&lt;&gt;"",IFERROR(INDEX(Barneveld!$E$40:$E$139,MATCH($A73,Barneveld!$C$40:$C$139,0)),""),IF(IFERROR(INDEX(Scherpenzeel!$F$107:$F$206,MATCH($A73,Scherpenzeel!$C$107:$C$206,0)),"")&lt;&gt;"",IFERROR(INDEX(Scherpenzeel!$F$107:$F$206,MATCH($A73,Scherpenzeel!$C$107:$C$206,0)),""),IF(IFERROR(INDEX('4'!$F$107:$F$206,MATCH($A73,'4'!$C$107:$C$206,0)),"")&lt;&gt;"",IFERROR(INDEX('4'!$F$107:$F$206,MATCH($A73,'4'!$C$107:$C$206,0)),""),IFERROR(INDEX('5'!$F$107:$F$206,MATCH($A73,'5'!$C$107:$C$206,0)),"")))))</f>
        <v/>
      </c>
      <c r="C73" s="24" t="str">
        <f>IF($A73="","",IFERROR(INDEX(Barneveld!$A$40:$A$139,MATCH($A73,Barneveld!$C$40:$C$139,0)),""))</f>
        <v/>
      </c>
      <c r="D73" s="15">
        <f>IF($A73="",0,IFERROR(INDEX(Barneveld!$H$40:$H$139,MATCH($A73,Barneveld!$C$40:$C$139,0)),0))</f>
        <v>0</v>
      </c>
      <c r="E73" s="24" t="str">
        <f>""</f>
        <v/>
      </c>
      <c r="F73" s="15">
        <f>0</f>
        <v>0</v>
      </c>
      <c r="G73" s="24" t="str">
        <f>IF($A73="","",IFERROR(INDEX(Scherpenzeel!$A$107:$A$206,MATCH($A73,Scherpenzeel!$C$107:$C$206,0)),""))</f>
        <v/>
      </c>
      <c r="H73" s="15">
        <f>IF($A73="",0,IFERROR(INDEX(Scherpenzeel!$I$107:$I$206,MATCH($A73,Scherpenzeel!$C$107:$C$206,0)),0))</f>
        <v>0</v>
      </c>
      <c r="I73" s="24" t="str">
        <f>IF($A73="","",IFERROR(INDEX('4'!$A$107:$A$206,MATCH($A73,'4'!$C$107:$C$206,0)),""))</f>
        <v/>
      </c>
      <c r="J73" s="15">
        <f>IF($A73="",0,IFERROR(INDEX('4'!$I$107:$I$206,MATCH($A73,'4'!$C$107:$C$206,0)),0))</f>
        <v>0</v>
      </c>
      <c r="K73" s="24" t="str">
        <f>IF($A73="","",IFERROR(INDEX('5'!$A$107:$A$206,MATCH($A73,'5'!$C$107:$C$206,0)),""))</f>
        <v/>
      </c>
      <c r="L73" s="15">
        <f>IF($A73="",0,IFERROR(INDEX('5'!$I$107:$I$206,MATCH($A73,'5'!$C$107:$C$206,0)),0))</f>
        <v>0</v>
      </c>
      <c r="M73" s="25" t="str">
        <f>IF($A73="","",D73+F73+H73+J73+L73)</f>
        <v/>
      </c>
      <c r="N73" s="26" t="str">
        <f>IF(OR($A73="",M73="",M73=0),"",RANK(M73,$M$4:$M$203,0))</f>
        <v/>
      </c>
      <c r="AA73">
        <f>Barneveld!C112</f>
        <v>0</v>
      </c>
      <c r="AB73">
        <f>IF(AA73="",0,IF(COUNTIF($AA$1:AA73,AA73)=1,1,0))</f>
        <v>0</v>
      </c>
      <c r="AC73" t="str">
        <f>IF(AB73=1,COUNTIF($AB$1:AB73,1),"")</f>
        <v/>
      </c>
    </row>
    <row r="74" spans="1:29" x14ac:dyDescent="0.25">
      <c r="A74" s="13" t="str">
        <f>IFERROR(INDEX($AA$1:$AA$400,MATCH(71,$AC$1:$AC$400,0)),"")</f>
        <v/>
      </c>
      <c r="B74" s="13" t="str">
        <f>IF($A74="","",IF(IFERROR(INDEX(Barneveld!$E$40:$E$139,MATCH($A74,Barneveld!$C$40:$C$139,0)),"")&lt;&gt;"",IFERROR(INDEX(Barneveld!$E$40:$E$139,MATCH($A74,Barneveld!$C$40:$C$139,0)),""),IF(IFERROR(INDEX(Scherpenzeel!$F$107:$F$206,MATCH($A74,Scherpenzeel!$C$107:$C$206,0)),"")&lt;&gt;"",IFERROR(INDEX(Scherpenzeel!$F$107:$F$206,MATCH($A74,Scherpenzeel!$C$107:$C$206,0)),""),IF(IFERROR(INDEX('4'!$F$107:$F$206,MATCH($A74,'4'!$C$107:$C$206,0)),"")&lt;&gt;"",IFERROR(INDEX('4'!$F$107:$F$206,MATCH($A74,'4'!$C$107:$C$206,0)),""),IFERROR(INDEX('5'!$F$107:$F$206,MATCH($A74,'5'!$C$107:$C$206,0)),"")))))</f>
        <v/>
      </c>
      <c r="C74" s="24" t="str">
        <f>IF($A74="","",IFERROR(INDEX(Barneveld!$A$40:$A$139,MATCH($A74,Barneveld!$C$40:$C$139,0)),""))</f>
        <v/>
      </c>
      <c r="D74" s="15">
        <f>IF($A74="",0,IFERROR(INDEX(Barneveld!$H$40:$H$139,MATCH($A74,Barneveld!$C$40:$C$139,0)),0))</f>
        <v>0</v>
      </c>
      <c r="E74" s="24" t="str">
        <f>""</f>
        <v/>
      </c>
      <c r="F74" s="15">
        <f>0</f>
        <v>0</v>
      </c>
      <c r="G74" s="24" t="str">
        <f>IF($A74="","",IFERROR(INDEX(Scherpenzeel!$A$107:$A$206,MATCH($A74,Scherpenzeel!$C$107:$C$206,0)),""))</f>
        <v/>
      </c>
      <c r="H74" s="15">
        <f>IF($A74="",0,IFERROR(INDEX(Scherpenzeel!$I$107:$I$206,MATCH($A74,Scherpenzeel!$C$107:$C$206,0)),0))</f>
        <v>0</v>
      </c>
      <c r="I74" s="24" t="str">
        <f>IF($A74="","",IFERROR(INDEX('4'!$A$107:$A$206,MATCH($A74,'4'!$C$107:$C$206,0)),""))</f>
        <v/>
      </c>
      <c r="J74" s="15">
        <f>IF($A74="",0,IFERROR(INDEX('4'!$I$107:$I$206,MATCH($A74,'4'!$C$107:$C$206,0)),0))</f>
        <v>0</v>
      </c>
      <c r="K74" s="24" t="str">
        <f>IF($A74="","",IFERROR(INDEX('5'!$A$107:$A$206,MATCH($A74,'5'!$C$107:$C$206,0)),""))</f>
        <v/>
      </c>
      <c r="L74" s="15">
        <f>IF($A74="",0,IFERROR(INDEX('5'!$I$107:$I$206,MATCH($A74,'5'!$C$107:$C$206,0)),0))</f>
        <v>0</v>
      </c>
      <c r="M74" s="25" t="str">
        <f>IF($A74="","",D74+F74+H74+J74+L74)</f>
        <v/>
      </c>
      <c r="N74" s="26" t="str">
        <f>IF(OR($A74="",M74="",M74=0),"",RANK(M74,$M$4:$M$203,0))</f>
        <v/>
      </c>
      <c r="AA74">
        <f>Barneveld!C113</f>
        <v>0</v>
      </c>
      <c r="AB74">
        <f>IF(AA74="",0,IF(COUNTIF($AA$1:AA74,AA74)=1,1,0))</f>
        <v>0</v>
      </c>
      <c r="AC74" t="str">
        <f>IF(AB74=1,COUNTIF($AB$1:AB74,1),"")</f>
        <v/>
      </c>
    </row>
    <row r="75" spans="1:29" x14ac:dyDescent="0.25">
      <c r="A75" s="13" t="str">
        <f>IFERROR(INDEX($AA$1:$AA$400,MATCH(72,$AC$1:$AC$400,0)),"")</f>
        <v/>
      </c>
      <c r="B75" s="13" t="str">
        <f>IF($A75="","",IF(IFERROR(INDEX(Barneveld!$E$40:$E$139,MATCH($A75,Barneveld!$C$40:$C$139,0)),"")&lt;&gt;"",IFERROR(INDEX(Barneveld!$E$40:$E$139,MATCH($A75,Barneveld!$C$40:$C$139,0)),""),IF(IFERROR(INDEX(Scherpenzeel!$F$107:$F$206,MATCH($A75,Scherpenzeel!$C$107:$C$206,0)),"")&lt;&gt;"",IFERROR(INDEX(Scherpenzeel!$F$107:$F$206,MATCH($A75,Scherpenzeel!$C$107:$C$206,0)),""),IF(IFERROR(INDEX('4'!$F$107:$F$206,MATCH($A75,'4'!$C$107:$C$206,0)),"")&lt;&gt;"",IFERROR(INDEX('4'!$F$107:$F$206,MATCH($A75,'4'!$C$107:$C$206,0)),""),IFERROR(INDEX('5'!$F$107:$F$206,MATCH($A75,'5'!$C$107:$C$206,0)),"")))))</f>
        <v/>
      </c>
      <c r="C75" s="24" t="str">
        <f>IF($A75="","",IFERROR(INDEX(Barneveld!$A$40:$A$139,MATCH($A75,Barneveld!$C$40:$C$139,0)),""))</f>
        <v/>
      </c>
      <c r="D75" s="15">
        <f>IF($A75="",0,IFERROR(INDEX(Barneveld!$H$40:$H$139,MATCH($A75,Barneveld!$C$40:$C$139,0)),0))</f>
        <v>0</v>
      </c>
      <c r="E75" s="24" t="str">
        <f>""</f>
        <v/>
      </c>
      <c r="F75" s="15">
        <f>0</f>
        <v>0</v>
      </c>
      <c r="G75" s="24" t="str">
        <f>IF($A75="","",IFERROR(INDEX(Scherpenzeel!$A$107:$A$206,MATCH($A75,Scherpenzeel!$C$107:$C$206,0)),""))</f>
        <v/>
      </c>
      <c r="H75" s="15">
        <f>IF($A75="",0,IFERROR(INDEX(Scherpenzeel!$I$107:$I$206,MATCH($A75,Scherpenzeel!$C$107:$C$206,0)),0))</f>
        <v>0</v>
      </c>
      <c r="I75" s="24" t="str">
        <f>IF($A75="","",IFERROR(INDEX('4'!$A$107:$A$206,MATCH($A75,'4'!$C$107:$C$206,0)),""))</f>
        <v/>
      </c>
      <c r="J75" s="15">
        <f>IF($A75="",0,IFERROR(INDEX('4'!$I$107:$I$206,MATCH($A75,'4'!$C$107:$C$206,0)),0))</f>
        <v>0</v>
      </c>
      <c r="K75" s="24" t="str">
        <f>IF($A75="","",IFERROR(INDEX('5'!$A$107:$A$206,MATCH($A75,'5'!$C$107:$C$206,0)),""))</f>
        <v/>
      </c>
      <c r="L75" s="15">
        <f>IF($A75="",0,IFERROR(INDEX('5'!$I$107:$I$206,MATCH($A75,'5'!$C$107:$C$206,0)),0))</f>
        <v>0</v>
      </c>
      <c r="M75" s="25" t="str">
        <f>IF($A75="","",D75+F75+H75+J75+L75)</f>
        <v/>
      </c>
      <c r="N75" s="26" t="str">
        <f>IF(OR($A75="",M75="",M75=0),"",RANK(M75,$M$4:$M$203,0))</f>
        <v/>
      </c>
      <c r="AA75">
        <f>Barneveld!C114</f>
        <v>0</v>
      </c>
      <c r="AB75">
        <f>IF(AA75="",0,IF(COUNTIF($AA$1:AA75,AA75)=1,1,0))</f>
        <v>0</v>
      </c>
      <c r="AC75" t="str">
        <f>IF(AB75=1,COUNTIF($AB$1:AB75,1),"")</f>
        <v/>
      </c>
    </row>
    <row r="76" spans="1:29" x14ac:dyDescent="0.25">
      <c r="A76" s="13" t="str">
        <f>IFERROR(INDEX($AA$1:$AA$400,MATCH(73,$AC$1:$AC$400,0)),"")</f>
        <v/>
      </c>
      <c r="B76" s="13" t="str">
        <f>IF($A76="","",IF(IFERROR(INDEX(Barneveld!$E$40:$E$139,MATCH($A76,Barneveld!$C$40:$C$139,0)),"")&lt;&gt;"",IFERROR(INDEX(Barneveld!$E$40:$E$139,MATCH($A76,Barneveld!$C$40:$C$139,0)),""),IF(IFERROR(INDEX(Scherpenzeel!$F$107:$F$206,MATCH($A76,Scherpenzeel!$C$107:$C$206,0)),"")&lt;&gt;"",IFERROR(INDEX(Scherpenzeel!$F$107:$F$206,MATCH($A76,Scherpenzeel!$C$107:$C$206,0)),""),IF(IFERROR(INDEX('4'!$F$107:$F$206,MATCH($A76,'4'!$C$107:$C$206,0)),"")&lt;&gt;"",IFERROR(INDEX('4'!$F$107:$F$206,MATCH($A76,'4'!$C$107:$C$206,0)),""),IFERROR(INDEX('5'!$F$107:$F$206,MATCH($A76,'5'!$C$107:$C$206,0)),"")))))</f>
        <v/>
      </c>
      <c r="C76" s="24" t="str">
        <f>IF($A76="","",IFERROR(INDEX(Barneveld!$A$40:$A$139,MATCH($A76,Barneveld!$C$40:$C$139,0)),""))</f>
        <v/>
      </c>
      <c r="D76" s="15">
        <f>IF($A76="",0,IFERROR(INDEX(Barneveld!$H$40:$H$139,MATCH($A76,Barneveld!$C$40:$C$139,0)),0))</f>
        <v>0</v>
      </c>
      <c r="E76" s="24" t="str">
        <f>""</f>
        <v/>
      </c>
      <c r="F76" s="15">
        <f>0</f>
        <v>0</v>
      </c>
      <c r="G76" s="24" t="str">
        <f>IF($A76="","",IFERROR(INDEX(Scherpenzeel!$A$107:$A$206,MATCH($A76,Scherpenzeel!$C$107:$C$206,0)),""))</f>
        <v/>
      </c>
      <c r="H76" s="15">
        <f>IF($A76="",0,IFERROR(INDEX(Scherpenzeel!$I$107:$I$206,MATCH($A76,Scherpenzeel!$C$107:$C$206,0)),0))</f>
        <v>0</v>
      </c>
      <c r="I76" s="24" t="str">
        <f>IF($A76="","",IFERROR(INDEX('4'!$A$107:$A$206,MATCH($A76,'4'!$C$107:$C$206,0)),""))</f>
        <v/>
      </c>
      <c r="J76" s="15">
        <f>IF($A76="",0,IFERROR(INDEX('4'!$I$107:$I$206,MATCH($A76,'4'!$C$107:$C$206,0)),0))</f>
        <v>0</v>
      </c>
      <c r="K76" s="24" t="str">
        <f>IF($A76="","",IFERROR(INDEX('5'!$A$107:$A$206,MATCH($A76,'5'!$C$107:$C$206,0)),""))</f>
        <v/>
      </c>
      <c r="L76" s="15">
        <f>IF($A76="",0,IFERROR(INDEX('5'!$I$107:$I$206,MATCH($A76,'5'!$C$107:$C$206,0)),0))</f>
        <v>0</v>
      </c>
      <c r="M76" s="25" t="str">
        <f>IF($A76="","",D76+F76+H76+J76+L76)</f>
        <v/>
      </c>
      <c r="N76" s="26" t="str">
        <f>IF(OR($A76="",M76="",M76=0),"",RANK(M76,$M$4:$M$203,0))</f>
        <v/>
      </c>
      <c r="AA76">
        <f>Barneveld!C115</f>
        <v>0</v>
      </c>
      <c r="AB76">
        <f>IF(AA76="",0,IF(COUNTIF($AA$1:AA76,AA76)=1,1,0))</f>
        <v>0</v>
      </c>
      <c r="AC76" t="str">
        <f>IF(AB76=1,COUNTIF($AB$1:AB76,1),"")</f>
        <v/>
      </c>
    </row>
    <row r="77" spans="1:29" x14ac:dyDescent="0.25">
      <c r="A77" s="13" t="str">
        <f>IFERROR(INDEX($AA$1:$AA$400,MATCH(74,$AC$1:$AC$400,0)),"")</f>
        <v/>
      </c>
      <c r="B77" s="13" t="str">
        <f>IF($A77="","",IF(IFERROR(INDEX(Barneveld!$E$40:$E$139,MATCH($A77,Barneveld!$C$40:$C$139,0)),"")&lt;&gt;"",IFERROR(INDEX(Barneveld!$E$40:$E$139,MATCH($A77,Barneveld!$C$40:$C$139,0)),""),IF(IFERROR(INDEX(Scherpenzeel!$F$107:$F$206,MATCH($A77,Scherpenzeel!$C$107:$C$206,0)),"")&lt;&gt;"",IFERROR(INDEX(Scherpenzeel!$F$107:$F$206,MATCH($A77,Scherpenzeel!$C$107:$C$206,0)),""),IF(IFERROR(INDEX('4'!$F$107:$F$206,MATCH($A77,'4'!$C$107:$C$206,0)),"")&lt;&gt;"",IFERROR(INDEX('4'!$F$107:$F$206,MATCH($A77,'4'!$C$107:$C$206,0)),""),IFERROR(INDEX('5'!$F$107:$F$206,MATCH($A77,'5'!$C$107:$C$206,0)),"")))))</f>
        <v/>
      </c>
      <c r="C77" s="24" t="str">
        <f>IF($A77="","",IFERROR(INDEX(Barneveld!$A$40:$A$139,MATCH($A77,Barneveld!$C$40:$C$139,0)),""))</f>
        <v/>
      </c>
      <c r="D77" s="15">
        <f>IF($A77="",0,IFERROR(INDEX(Barneveld!$H$40:$H$139,MATCH($A77,Barneveld!$C$40:$C$139,0)),0))</f>
        <v>0</v>
      </c>
      <c r="E77" s="24" t="str">
        <f>""</f>
        <v/>
      </c>
      <c r="F77" s="15">
        <f>0</f>
        <v>0</v>
      </c>
      <c r="G77" s="24" t="str">
        <f>IF($A77="","",IFERROR(INDEX(Scherpenzeel!$A$107:$A$206,MATCH($A77,Scherpenzeel!$C$107:$C$206,0)),""))</f>
        <v/>
      </c>
      <c r="H77" s="15">
        <f>IF($A77="",0,IFERROR(INDEX(Scherpenzeel!$I$107:$I$206,MATCH($A77,Scherpenzeel!$C$107:$C$206,0)),0))</f>
        <v>0</v>
      </c>
      <c r="I77" s="24" t="str">
        <f>IF($A77="","",IFERROR(INDEX('4'!$A$107:$A$206,MATCH($A77,'4'!$C$107:$C$206,0)),""))</f>
        <v/>
      </c>
      <c r="J77" s="15">
        <f>IF($A77="",0,IFERROR(INDEX('4'!$I$107:$I$206,MATCH($A77,'4'!$C$107:$C$206,0)),0))</f>
        <v>0</v>
      </c>
      <c r="K77" s="24" t="str">
        <f>IF($A77="","",IFERROR(INDEX('5'!$A$107:$A$206,MATCH($A77,'5'!$C$107:$C$206,0)),""))</f>
        <v/>
      </c>
      <c r="L77" s="15">
        <f>IF($A77="",0,IFERROR(INDEX('5'!$I$107:$I$206,MATCH($A77,'5'!$C$107:$C$206,0)),0))</f>
        <v>0</v>
      </c>
      <c r="M77" s="25" t="str">
        <f>IF($A77="","",D77+F77+H77+J77+L77)</f>
        <v/>
      </c>
      <c r="N77" s="26" t="str">
        <f>IF(OR($A77="",M77="",M77=0),"",RANK(M77,$M$4:$M$203,0))</f>
        <v/>
      </c>
      <c r="AA77">
        <f>Barneveld!C116</f>
        <v>0</v>
      </c>
      <c r="AB77">
        <f>IF(AA77="",0,IF(COUNTIF($AA$1:AA77,AA77)=1,1,0))</f>
        <v>0</v>
      </c>
      <c r="AC77" t="str">
        <f>IF(AB77=1,COUNTIF($AB$1:AB77,1),"")</f>
        <v/>
      </c>
    </row>
    <row r="78" spans="1:29" x14ac:dyDescent="0.25">
      <c r="A78" s="13" t="str">
        <f>IFERROR(INDEX($AA$1:$AA$400,MATCH(75,$AC$1:$AC$400,0)),"")</f>
        <v/>
      </c>
      <c r="B78" s="13" t="str">
        <f>IF($A78="","",IF(IFERROR(INDEX(Barneveld!$E$40:$E$139,MATCH($A78,Barneveld!$C$40:$C$139,0)),"")&lt;&gt;"",IFERROR(INDEX(Barneveld!$E$40:$E$139,MATCH($A78,Barneveld!$C$40:$C$139,0)),""),IF(IFERROR(INDEX(Scherpenzeel!$F$107:$F$206,MATCH($A78,Scherpenzeel!$C$107:$C$206,0)),"")&lt;&gt;"",IFERROR(INDEX(Scherpenzeel!$F$107:$F$206,MATCH($A78,Scherpenzeel!$C$107:$C$206,0)),""),IF(IFERROR(INDEX('4'!$F$107:$F$206,MATCH($A78,'4'!$C$107:$C$206,0)),"")&lt;&gt;"",IFERROR(INDEX('4'!$F$107:$F$206,MATCH($A78,'4'!$C$107:$C$206,0)),""),IFERROR(INDEX('5'!$F$107:$F$206,MATCH($A78,'5'!$C$107:$C$206,0)),"")))))</f>
        <v/>
      </c>
      <c r="C78" s="24" t="str">
        <f>IF($A78="","",IFERROR(INDEX(Barneveld!$A$40:$A$139,MATCH($A78,Barneveld!$C$40:$C$139,0)),""))</f>
        <v/>
      </c>
      <c r="D78" s="15">
        <f>IF($A78="",0,IFERROR(INDEX(Barneveld!$H$40:$H$139,MATCH($A78,Barneveld!$C$40:$C$139,0)),0))</f>
        <v>0</v>
      </c>
      <c r="E78" s="24" t="str">
        <f>""</f>
        <v/>
      </c>
      <c r="F78" s="15">
        <f>0</f>
        <v>0</v>
      </c>
      <c r="G78" s="24" t="str">
        <f>IF($A78="","",IFERROR(INDEX(Scherpenzeel!$A$107:$A$206,MATCH($A78,Scherpenzeel!$C$107:$C$206,0)),""))</f>
        <v/>
      </c>
      <c r="H78" s="15">
        <f>IF($A78="",0,IFERROR(INDEX(Scherpenzeel!$I$107:$I$206,MATCH($A78,Scherpenzeel!$C$107:$C$206,0)),0))</f>
        <v>0</v>
      </c>
      <c r="I78" s="24" t="str">
        <f>IF($A78="","",IFERROR(INDEX('4'!$A$107:$A$206,MATCH($A78,'4'!$C$107:$C$206,0)),""))</f>
        <v/>
      </c>
      <c r="J78" s="15">
        <f>IF($A78="",0,IFERROR(INDEX('4'!$I$107:$I$206,MATCH($A78,'4'!$C$107:$C$206,0)),0))</f>
        <v>0</v>
      </c>
      <c r="K78" s="24" t="str">
        <f>IF($A78="","",IFERROR(INDEX('5'!$A$107:$A$206,MATCH($A78,'5'!$C$107:$C$206,0)),""))</f>
        <v/>
      </c>
      <c r="L78" s="15">
        <f>IF($A78="",0,IFERROR(INDEX('5'!$I$107:$I$206,MATCH($A78,'5'!$C$107:$C$206,0)),0))</f>
        <v>0</v>
      </c>
      <c r="M78" s="25" t="str">
        <f>IF($A78="","",D78+F78+H78+J78+L78)</f>
        <v/>
      </c>
      <c r="N78" s="26" t="str">
        <f>IF(OR($A78="",M78="",M78=0),"",RANK(M78,$M$4:$M$203,0))</f>
        <v/>
      </c>
      <c r="AA78">
        <f>Barneveld!C117</f>
        <v>0</v>
      </c>
      <c r="AB78">
        <f>IF(AA78="",0,IF(COUNTIF($AA$1:AA78,AA78)=1,1,0))</f>
        <v>0</v>
      </c>
      <c r="AC78" t="str">
        <f>IF(AB78=1,COUNTIF($AB$1:AB78,1),"")</f>
        <v/>
      </c>
    </row>
    <row r="79" spans="1:29" x14ac:dyDescent="0.25">
      <c r="A79" s="13" t="str">
        <f>IFERROR(INDEX($AA$1:$AA$400,MATCH(76,$AC$1:$AC$400,0)),"")</f>
        <v/>
      </c>
      <c r="B79" s="13" t="str">
        <f>IF($A79="","",IF(IFERROR(INDEX(Barneveld!$E$40:$E$139,MATCH($A79,Barneveld!$C$40:$C$139,0)),"")&lt;&gt;"",IFERROR(INDEX(Barneveld!$E$40:$E$139,MATCH($A79,Barneveld!$C$40:$C$139,0)),""),IF(IFERROR(INDEX(Scherpenzeel!$F$107:$F$206,MATCH($A79,Scherpenzeel!$C$107:$C$206,0)),"")&lt;&gt;"",IFERROR(INDEX(Scherpenzeel!$F$107:$F$206,MATCH($A79,Scherpenzeel!$C$107:$C$206,0)),""),IF(IFERROR(INDEX('4'!$F$107:$F$206,MATCH($A79,'4'!$C$107:$C$206,0)),"")&lt;&gt;"",IFERROR(INDEX('4'!$F$107:$F$206,MATCH($A79,'4'!$C$107:$C$206,0)),""),IFERROR(INDEX('5'!$F$107:$F$206,MATCH($A79,'5'!$C$107:$C$206,0)),"")))))</f>
        <v/>
      </c>
      <c r="C79" s="24" t="str">
        <f>IF($A79="","",IFERROR(INDEX(Barneveld!$A$40:$A$139,MATCH($A79,Barneveld!$C$40:$C$139,0)),""))</f>
        <v/>
      </c>
      <c r="D79" s="15">
        <f>IF($A79="",0,IFERROR(INDEX(Barneveld!$H$40:$H$139,MATCH($A79,Barneveld!$C$40:$C$139,0)),0))</f>
        <v>0</v>
      </c>
      <c r="E79" s="24" t="str">
        <f>""</f>
        <v/>
      </c>
      <c r="F79" s="15">
        <f>0</f>
        <v>0</v>
      </c>
      <c r="G79" s="24" t="str">
        <f>IF($A79="","",IFERROR(INDEX(Scherpenzeel!$A$107:$A$206,MATCH($A79,Scherpenzeel!$C$107:$C$206,0)),""))</f>
        <v/>
      </c>
      <c r="H79" s="15">
        <f>IF($A79="",0,IFERROR(INDEX(Scherpenzeel!$I$107:$I$206,MATCH($A79,Scherpenzeel!$C$107:$C$206,0)),0))</f>
        <v>0</v>
      </c>
      <c r="I79" s="24" t="str">
        <f>IF($A79="","",IFERROR(INDEX('4'!$A$107:$A$206,MATCH($A79,'4'!$C$107:$C$206,0)),""))</f>
        <v/>
      </c>
      <c r="J79" s="15">
        <f>IF($A79="",0,IFERROR(INDEX('4'!$I$107:$I$206,MATCH($A79,'4'!$C$107:$C$206,0)),0))</f>
        <v>0</v>
      </c>
      <c r="K79" s="24" t="str">
        <f>IF($A79="","",IFERROR(INDEX('5'!$A$107:$A$206,MATCH($A79,'5'!$C$107:$C$206,0)),""))</f>
        <v/>
      </c>
      <c r="L79" s="15">
        <f>IF($A79="",0,IFERROR(INDEX('5'!$I$107:$I$206,MATCH($A79,'5'!$C$107:$C$206,0)),0))</f>
        <v>0</v>
      </c>
      <c r="M79" s="25" t="str">
        <f>IF($A79="","",D79+F79+H79+J79+L79)</f>
        <v/>
      </c>
      <c r="N79" s="26" t="str">
        <f>IF(OR($A79="",M79="",M79=0),"",RANK(M79,$M$4:$M$203,0))</f>
        <v/>
      </c>
      <c r="AA79">
        <f>Barneveld!C118</f>
        <v>0</v>
      </c>
      <c r="AB79">
        <f>IF(AA79="",0,IF(COUNTIF($AA$1:AA79,AA79)=1,1,0))</f>
        <v>0</v>
      </c>
      <c r="AC79" t="str">
        <f>IF(AB79=1,COUNTIF($AB$1:AB79,1),"")</f>
        <v/>
      </c>
    </row>
    <row r="80" spans="1:29" x14ac:dyDescent="0.25">
      <c r="A80" s="13" t="str">
        <f>IFERROR(INDEX($AA$1:$AA$400,MATCH(77,$AC$1:$AC$400,0)),"")</f>
        <v/>
      </c>
      <c r="B80" s="13" t="str">
        <f>IF($A80="","",IF(IFERROR(INDEX(Barneveld!$E$40:$E$139,MATCH($A80,Barneveld!$C$40:$C$139,0)),"")&lt;&gt;"",IFERROR(INDEX(Barneveld!$E$40:$E$139,MATCH($A80,Barneveld!$C$40:$C$139,0)),""),IF(IFERROR(INDEX(Scherpenzeel!$F$107:$F$206,MATCH($A80,Scherpenzeel!$C$107:$C$206,0)),"")&lt;&gt;"",IFERROR(INDEX(Scherpenzeel!$F$107:$F$206,MATCH($A80,Scherpenzeel!$C$107:$C$206,0)),""),IF(IFERROR(INDEX('4'!$F$107:$F$206,MATCH($A80,'4'!$C$107:$C$206,0)),"")&lt;&gt;"",IFERROR(INDEX('4'!$F$107:$F$206,MATCH($A80,'4'!$C$107:$C$206,0)),""),IFERROR(INDEX('5'!$F$107:$F$206,MATCH($A80,'5'!$C$107:$C$206,0)),"")))))</f>
        <v/>
      </c>
      <c r="C80" s="24" t="str">
        <f>IF($A80="","",IFERROR(INDEX(Barneveld!$A$40:$A$139,MATCH($A80,Barneveld!$C$40:$C$139,0)),""))</f>
        <v/>
      </c>
      <c r="D80" s="15">
        <f>IF($A80="",0,IFERROR(INDEX(Barneveld!$H$40:$H$139,MATCH($A80,Barneveld!$C$40:$C$139,0)),0))</f>
        <v>0</v>
      </c>
      <c r="E80" s="24" t="str">
        <f>""</f>
        <v/>
      </c>
      <c r="F80" s="15">
        <f>0</f>
        <v>0</v>
      </c>
      <c r="G80" s="24" t="str">
        <f>IF($A80="","",IFERROR(INDEX(Scherpenzeel!$A$107:$A$206,MATCH($A80,Scherpenzeel!$C$107:$C$206,0)),""))</f>
        <v/>
      </c>
      <c r="H80" s="15">
        <f>IF($A80="",0,IFERROR(INDEX(Scherpenzeel!$I$107:$I$206,MATCH($A80,Scherpenzeel!$C$107:$C$206,0)),0))</f>
        <v>0</v>
      </c>
      <c r="I80" s="24" t="str">
        <f>IF($A80="","",IFERROR(INDEX('4'!$A$107:$A$206,MATCH($A80,'4'!$C$107:$C$206,0)),""))</f>
        <v/>
      </c>
      <c r="J80" s="15">
        <f>IF($A80="",0,IFERROR(INDEX('4'!$I$107:$I$206,MATCH($A80,'4'!$C$107:$C$206,0)),0))</f>
        <v>0</v>
      </c>
      <c r="K80" s="24" t="str">
        <f>IF($A80="","",IFERROR(INDEX('5'!$A$107:$A$206,MATCH($A80,'5'!$C$107:$C$206,0)),""))</f>
        <v/>
      </c>
      <c r="L80" s="15">
        <f>IF($A80="",0,IFERROR(INDEX('5'!$I$107:$I$206,MATCH($A80,'5'!$C$107:$C$206,0)),0))</f>
        <v>0</v>
      </c>
      <c r="M80" s="25" t="str">
        <f>IF($A80="","",D80+F80+H80+J80+L80)</f>
        <v/>
      </c>
      <c r="N80" s="26" t="str">
        <f>IF(OR($A80="",M80="",M80=0),"",RANK(M80,$M$4:$M$203,0))</f>
        <v/>
      </c>
      <c r="AA80">
        <f>Barneveld!C119</f>
        <v>0</v>
      </c>
      <c r="AB80">
        <f>IF(AA80="",0,IF(COUNTIF($AA$1:AA80,AA80)=1,1,0))</f>
        <v>0</v>
      </c>
      <c r="AC80" t="str">
        <f>IF(AB80=1,COUNTIF($AB$1:AB80,1),"")</f>
        <v/>
      </c>
    </row>
    <row r="81" spans="1:29" x14ac:dyDescent="0.25">
      <c r="A81" s="13" t="str">
        <f>IFERROR(INDEX($AA$1:$AA$400,MATCH(78,$AC$1:$AC$400,0)),"")</f>
        <v/>
      </c>
      <c r="B81" s="13" t="str">
        <f>IF($A81="","",IF(IFERROR(INDEX(Barneveld!$E$40:$E$139,MATCH($A81,Barneveld!$C$40:$C$139,0)),"")&lt;&gt;"",IFERROR(INDEX(Barneveld!$E$40:$E$139,MATCH($A81,Barneveld!$C$40:$C$139,0)),""),IF(IFERROR(INDEX(Scherpenzeel!$F$107:$F$206,MATCH($A81,Scherpenzeel!$C$107:$C$206,0)),"")&lt;&gt;"",IFERROR(INDEX(Scherpenzeel!$F$107:$F$206,MATCH($A81,Scherpenzeel!$C$107:$C$206,0)),""),IF(IFERROR(INDEX('4'!$F$107:$F$206,MATCH($A81,'4'!$C$107:$C$206,0)),"")&lt;&gt;"",IFERROR(INDEX('4'!$F$107:$F$206,MATCH($A81,'4'!$C$107:$C$206,0)),""),IFERROR(INDEX('5'!$F$107:$F$206,MATCH($A81,'5'!$C$107:$C$206,0)),"")))))</f>
        <v/>
      </c>
      <c r="C81" s="24" t="str">
        <f>IF($A81="","",IFERROR(INDEX(Barneveld!$A$40:$A$139,MATCH($A81,Barneveld!$C$40:$C$139,0)),""))</f>
        <v/>
      </c>
      <c r="D81" s="15">
        <f>IF($A81="",0,IFERROR(INDEX(Barneveld!$H$40:$H$139,MATCH($A81,Barneveld!$C$40:$C$139,0)),0))</f>
        <v>0</v>
      </c>
      <c r="E81" s="24" t="str">
        <f>""</f>
        <v/>
      </c>
      <c r="F81" s="15">
        <f>0</f>
        <v>0</v>
      </c>
      <c r="G81" s="24" t="str">
        <f>IF($A81="","",IFERROR(INDEX(Scherpenzeel!$A$107:$A$206,MATCH($A81,Scherpenzeel!$C$107:$C$206,0)),""))</f>
        <v/>
      </c>
      <c r="H81" s="15">
        <f>IF($A81="",0,IFERROR(INDEX(Scherpenzeel!$I$107:$I$206,MATCH($A81,Scherpenzeel!$C$107:$C$206,0)),0))</f>
        <v>0</v>
      </c>
      <c r="I81" s="24" t="str">
        <f>IF($A81="","",IFERROR(INDEX('4'!$A$107:$A$206,MATCH($A81,'4'!$C$107:$C$206,0)),""))</f>
        <v/>
      </c>
      <c r="J81" s="15">
        <f>IF($A81="",0,IFERROR(INDEX('4'!$I$107:$I$206,MATCH($A81,'4'!$C$107:$C$206,0)),0))</f>
        <v>0</v>
      </c>
      <c r="K81" s="24" t="str">
        <f>IF($A81="","",IFERROR(INDEX('5'!$A$107:$A$206,MATCH($A81,'5'!$C$107:$C$206,0)),""))</f>
        <v/>
      </c>
      <c r="L81" s="15">
        <f>IF($A81="",0,IFERROR(INDEX('5'!$I$107:$I$206,MATCH($A81,'5'!$C$107:$C$206,0)),0))</f>
        <v>0</v>
      </c>
      <c r="M81" s="25" t="str">
        <f>IF($A81="","",D81+F81+H81+J81+L81)</f>
        <v/>
      </c>
      <c r="N81" s="26" t="str">
        <f>IF(OR($A81="",M81="",M81=0),"",RANK(M81,$M$4:$M$203,0))</f>
        <v/>
      </c>
      <c r="AA81">
        <f>Barneveld!C120</f>
        <v>0</v>
      </c>
      <c r="AB81">
        <f>IF(AA81="",0,IF(COUNTIF($AA$1:AA81,AA81)=1,1,0))</f>
        <v>0</v>
      </c>
      <c r="AC81" t="str">
        <f>IF(AB81=1,COUNTIF($AB$1:AB81,1),"")</f>
        <v/>
      </c>
    </row>
    <row r="82" spans="1:29" x14ac:dyDescent="0.25">
      <c r="A82" s="13" t="str">
        <f>IFERROR(INDEX($AA$1:$AA$400,MATCH(79,$AC$1:$AC$400,0)),"")</f>
        <v/>
      </c>
      <c r="B82" s="13" t="str">
        <f>IF($A82="","",IF(IFERROR(INDEX(Barneveld!$E$40:$E$139,MATCH($A82,Barneveld!$C$40:$C$139,0)),"")&lt;&gt;"",IFERROR(INDEX(Barneveld!$E$40:$E$139,MATCH($A82,Barneveld!$C$40:$C$139,0)),""),IF(IFERROR(INDEX(Scherpenzeel!$F$107:$F$206,MATCH($A82,Scherpenzeel!$C$107:$C$206,0)),"")&lt;&gt;"",IFERROR(INDEX(Scherpenzeel!$F$107:$F$206,MATCH($A82,Scherpenzeel!$C$107:$C$206,0)),""),IF(IFERROR(INDEX('4'!$F$107:$F$206,MATCH($A82,'4'!$C$107:$C$206,0)),"")&lt;&gt;"",IFERROR(INDEX('4'!$F$107:$F$206,MATCH($A82,'4'!$C$107:$C$206,0)),""),IFERROR(INDEX('5'!$F$107:$F$206,MATCH($A82,'5'!$C$107:$C$206,0)),"")))))</f>
        <v/>
      </c>
      <c r="C82" s="24" t="str">
        <f>IF($A82="","",IFERROR(INDEX(Barneveld!$A$40:$A$139,MATCH($A82,Barneveld!$C$40:$C$139,0)),""))</f>
        <v/>
      </c>
      <c r="D82" s="15">
        <f>IF($A82="",0,IFERROR(INDEX(Barneveld!$H$40:$H$139,MATCH($A82,Barneveld!$C$40:$C$139,0)),0))</f>
        <v>0</v>
      </c>
      <c r="E82" s="24" t="str">
        <f>""</f>
        <v/>
      </c>
      <c r="F82" s="15">
        <f>0</f>
        <v>0</v>
      </c>
      <c r="G82" s="24" t="str">
        <f>IF($A82="","",IFERROR(INDEX(Scherpenzeel!$A$107:$A$206,MATCH($A82,Scherpenzeel!$C$107:$C$206,0)),""))</f>
        <v/>
      </c>
      <c r="H82" s="15">
        <f>IF($A82="",0,IFERROR(INDEX(Scherpenzeel!$I$107:$I$206,MATCH($A82,Scherpenzeel!$C$107:$C$206,0)),0))</f>
        <v>0</v>
      </c>
      <c r="I82" s="24" t="str">
        <f>IF($A82="","",IFERROR(INDEX('4'!$A$107:$A$206,MATCH($A82,'4'!$C$107:$C$206,0)),""))</f>
        <v/>
      </c>
      <c r="J82" s="15">
        <f>IF($A82="",0,IFERROR(INDEX('4'!$I$107:$I$206,MATCH($A82,'4'!$C$107:$C$206,0)),0))</f>
        <v>0</v>
      </c>
      <c r="K82" s="24" t="str">
        <f>IF($A82="","",IFERROR(INDEX('5'!$A$107:$A$206,MATCH($A82,'5'!$C$107:$C$206,0)),""))</f>
        <v/>
      </c>
      <c r="L82" s="15">
        <f>IF($A82="",0,IFERROR(INDEX('5'!$I$107:$I$206,MATCH($A82,'5'!$C$107:$C$206,0)),0))</f>
        <v>0</v>
      </c>
      <c r="M82" s="25" t="str">
        <f>IF($A82="","",D82+F82+H82+J82+L82)</f>
        <v/>
      </c>
      <c r="N82" s="26" t="str">
        <f>IF(OR($A82="",M82="",M82=0),"",RANK(M82,$M$4:$M$203,0))</f>
        <v/>
      </c>
      <c r="AA82">
        <f>Barneveld!C121</f>
        <v>0</v>
      </c>
      <c r="AB82">
        <f>IF(AA82="",0,IF(COUNTIF($AA$1:AA82,AA82)=1,1,0))</f>
        <v>0</v>
      </c>
      <c r="AC82" t="str">
        <f>IF(AB82=1,COUNTIF($AB$1:AB82,1),"")</f>
        <v/>
      </c>
    </row>
    <row r="83" spans="1:29" x14ac:dyDescent="0.25">
      <c r="A83" s="13" t="str">
        <f>IFERROR(INDEX($AA$1:$AA$400,MATCH(80,$AC$1:$AC$400,0)),"")</f>
        <v/>
      </c>
      <c r="B83" s="13" t="str">
        <f>IF($A83="","",IF(IFERROR(INDEX(Barneveld!$E$40:$E$139,MATCH($A83,Barneveld!$C$40:$C$139,0)),"")&lt;&gt;"",IFERROR(INDEX(Barneveld!$E$40:$E$139,MATCH($A83,Barneveld!$C$40:$C$139,0)),""),IF(IFERROR(INDEX(Scherpenzeel!$F$107:$F$206,MATCH($A83,Scherpenzeel!$C$107:$C$206,0)),"")&lt;&gt;"",IFERROR(INDEX(Scherpenzeel!$F$107:$F$206,MATCH($A83,Scherpenzeel!$C$107:$C$206,0)),""),IF(IFERROR(INDEX('4'!$F$107:$F$206,MATCH($A83,'4'!$C$107:$C$206,0)),"")&lt;&gt;"",IFERROR(INDEX('4'!$F$107:$F$206,MATCH($A83,'4'!$C$107:$C$206,0)),""),IFERROR(INDEX('5'!$F$107:$F$206,MATCH($A83,'5'!$C$107:$C$206,0)),"")))))</f>
        <v/>
      </c>
      <c r="C83" s="24" t="str">
        <f>IF($A83="","",IFERROR(INDEX(Barneveld!$A$40:$A$139,MATCH($A83,Barneveld!$C$40:$C$139,0)),""))</f>
        <v/>
      </c>
      <c r="D83" s="15">
        <f>IF($A83="",0,IFERROR(INDEX(Barneveld!$H$40:$H$139,MATCH($A83,Barneveld!$C$40:$C$139,0)),0))</f>
        <v>0</v>
      </c>
      <c r="E83" s="24" t="str">
        <f>""</f>
        <v/>
      </c>
      <c r="F83" s="15">
        <f>0</f>
        <v>0</v>
      </c>
      <c r="G83" s="24" t="str">
        <f>IF($A83="","",IFERROR(INDEX(Scherpenzeel!$A$107:$A$206,MATCH($A83,Scherpenzeel!$C$107:$C$206,0)),""))</f>
        <v/>
      </c>
      <c r="H83" s="15">
        <f>IF($A83="",0,IFERROR(INDEX(Scherpenzeel!$I$107:$I$206,MATCH($A83,Scherpenzeel!$C$107:$C$206,0)),0))</f>
        <v>0</v>
      </c>
      <c r="I83" s="24" t="str">
        <f>IF($A83="","",IFERROR(INDEX('4'!$A$107:$A$206,MATCH($A83,'4'!$C$107:$C$206,0)),""))</f>
        <v/>
      </c>
      <c r="J83" s="15">
        <f>IF($A83="",0,IFERROR(INDEX('4'!$I$107:$I$206,MATCH($A83,'4'!$C$107:$C$206,0)),0))</f>
        <v>0</v>
      </c>
      <c r="K83" s="24" t="str">
        <f>IF($A83="","",IFERROR(INDEX('5'!$A$107:$A$206,MATCH($A83,'5'!$C$107:$C$206,0)),""))</f>
        <v/>
      </c>
      <c r="L83" s="15">
        <f>IF($A83="",0,IFERROR(INDEX('5'!$I$107:$I$206,MATCH($A83,'5'!$C$107:$C$206,0)),0))</f>
        <v>0</v>
      </c>
      <c r="M83" s="25" t="str">
        <f>IF($A83="","",D83+F83+H83+J83+L83)</f>
        <v/>
      </c>
      <c r="N83" s="26" t="str">
        <f>IF(OR($A83="",M83="",M83=0),"",RANK(M83,$M$4:$M$203,0))</f>
        <v/>
      </c>
      <c r="AA83">
        <f>Barneveld!C122</f>
        <v>0</v>
      </c>
      <c r="AB83">
        <f>IF(AA83="",0,IF(COUNTIF($AA$1:AA83,AA83)=1,1,0))</f>
        <v>0</v>
      </c>
      <c r="AC83" t="str">
        <f>IF(AB83=1,COUNTIF($AB$1:AB83,1),"")</f>
        <v/>
      </c>
    </row>
    <row r="84" spans="1:29" x14ac:dyDescent="0.25">
      <c r="A84" s="13" t="str">
        <f>IFERROR(INDEX($AA$1:$AA$400,MATCH(81,$AC$1:$AC$400,0)),"")</f>
        <v/>
      </c>
      <c r="B84" s="13" t="str">
        <f>IF($A84="","",IF(IFERROR(INDEX(Barneveld!$E$40:$E$139,MATCH($A84,Barneveld!$C$40:$C$139,0)),"")&lt;&gt;"",IFERROR(INDEX(Barneveld!$E$40:$E$139,MATCH($A84,Barneveld!$C$40:$C$139,0)),""),IF(IFERROR(INDEX(Scherpenzeel!$F$107:$F$206,MATCH($A84,Scherpenzeel!$C$107:$C$206,0)),"")&lt;&gt;"",IFERROR(INDEX(Scherpenzeel!$F$107:$F$206,MATCH($A84,Scherpenzeel!$C$107:$C$206,0)),""),IF(IFERROR(INDEX('4'!$F$107:$F$206,MATCH($A84,'4'!$C$107:$C$206,0)),"")&lt;&gt;"",IFERROR(INDEX('4'!$F$107:$F$206,MATCH($A84,'4'!$C$107:$C$206,0)),""),IFERROR(INDEX('5'!$F$107:$F$206,MATCH($A84,'5'!$C$107:$C$206,0)),"")))))</f>
        <v/>
      </c>
      <c r="C84" s="24" t="str">
        <f>IF($A84="","",IFERROR(INDEX(Barneveld!$A$40:$A$139,MATCH($A84,Barneveld!$C$40:$C$139,0)),""))</f>
        <v/>
      </c>
      <c r="D84" s="15">
        <f>IF($A84="",0,IFERROR(INDEX(Barneveld!$H$40:$H$139,MATCH($A84,Barneveld!$C$40:$C$139,0)),0))</f>
        <v>0</v>
      </c>
      <c r="E84" s="24" t="str">
        <f>""</f>
        <v/>
      </c>
      <c r="F84" s="15">
        <f>0</f>
        <v>0</v>
      </c>
      <c r="G84" s="24" t="str">
        <f>IF($A84="","",IFERROR(INDEX(Scherpenzeel!$A$107:$A$206,MATCH($A84,Scherpenzeel!$C$107:$C$206,0)),""))</f>
        <v/>
      </c>
      <c r="H84" s="15">
        <f>IF($A84="",0,IFERROR(INDEX(Scherpenzeel!$I$107:$I$206,MATCH($A84,Scherpenzeel!$C$107:$C$206,0)),0))</f>
        <v>0</v>
      </c>
      <c r="I84" s="24" t="str">
        <f>IF($A84="","",IFERROR(INDEX('4'!$A$107:$A$206,MATCH($A84,'4'!$C$107:$C$206,0)),""))</f>
        <v/>
      </c>
      <c r="J84" s="15">
        <f>IF($A84="",0,IFERROR(INDEX('4'!$I$107:$I$206,MATCH($A84,'4'!$C$107:$C$206,0)),0))</f>
        <v>0</v>
      </c>
      <c r="K84" s="24" t="str">
        <f>IF($A84="","",IFERROR(INDEX('5'!$A$107:$A$206,MATCH($A84,'5'!$C$107:$C$206,0)),""))</f>
        <v/>
      </c>
      <c r="L84" s="15">
        <f>IF($A84="",0,IFERROR(INDEX('5'!$I$107:$I$206,MATCH($A84,'5'!$C$107:$C$206,0)),0))</f>
        <v>0</v>
      </c>
      <c r="M84" s="25" t="str">
        <f>IF($A84="","",D84+F84+H84+J84+L84)</f>
        <v/>
      </c>
      <c r="N84" s="26" t="str">
        <f>IF(OR($A84="",M84="",M84=0),"",RANK(M84,$M$4:$M$203,0))</f>
        <v/>
      </c>
      <c r="AA84">
        <f>Barneveld!C123</f>
        <v>0</v>
      </c>
      <c r="AB84">
        <f>IF(AA84="",0,IF(COUNTIF($AA$1:AA84,AA84)=1,1,0))</f>
        <v>0</v>
      </c>
      <c r="AC84" t="str">
        <f>IF(AB84=1,COUNTIF($AB$1:AB84,1),"")</f>
        <v/>
      </c>
    </row>
    <row r="85" spans="1:29" x14ac:dyDescent="0.25">
      <c r="A85" s="13" t="str">
        <f>IFERROR(INDEX($AA$1:$AA$400,MATCH(82,$AC$1:$AC$400,0)),"")</f>
        <v/>
      </c>
      <c r="B85" s="13" t="str">
        <f>IF($A85="","",IF(IFERROR(INDEX(Barneveld!$E$40:$E$139,MATCH($A85,Barneveld!$C$40:$C$139,0)),"")&lt;&gt;"",IFERROR(INDEX(Barneveld!$E$40:$E$139,MATCH($A85,Barneveld!$C$40:$C$139,0)),""),IF(IFERROR(INDEX(Scherpenzeel!$F$107:$F$206,MATCH($A85,Scherpenzeel!$C$107:$C$206,0)),"")&lt;&gt;"",IFERROR(INDEX(Scherpenzeel!$F$107:$F$206,MATCH($A85,Scherpenzeel!$C$107:$C$206,0)),""),IF(IFERROR(INDEX('4'!$F$107:$F$206,MATCH($A85,'4'!$C$107:$C$206,0)),"")&lt;&gt;"",IFERROR(INDEX('4'!$F$107:$F$206,MATCH($A85,'4'!$C$107:$C$206,0)),""),IFERROR(INDEX('5'!$F$107:$F$206,MATCH($A85,'5'!$C$107:$C$206,0)),"")))))</f>
        <v/>
      </c>
      <c r="C85" s="24" t="str">
        <f>IF($A85="","",IFERROR(INDEX(Barneveld!$A$40:$A$139,MATCH($A85,Barneveld!$C$40:$C$139,0)),""))</f>
        <v/>
      </c>
      <c r="D85" s="15">
        <f>IF($A85="",0,IFERROR(INDEX(Barneveld!$H$40:$H$139,MATCH($A85,Barneveld!$C$40:$C$139,0)),0))</f>
        <v>0</v>
      </c>
      <c r="E85" s="24" t="str">
        <f>""</f>
        <v/>
      </c>
      <c r="F85" s="15">
        <f>0</f>
        <v>0</v>
      </c>
      <c r="G85" s="24" t="str">
        <f>IF($A85="","",IFERROR(INDEX(Scherpenzeel!$A$107:$A$206,MATCH($A85,Scherpenzeel!$C$107:$C$206,0)),""))</f>
        <v/>
      </c>
      <c r="H85" s="15">
        <f>IF($A85="",0,IFERROR(INDEX(Scherpenzeel!$I$107:$I$206,MATCH($A85,Scherpenzeel!$C$107:$C$206,0)),0))</f>
        <v>0</v>
      </c>
      <c r="I85" s="24" t="str">
        <f>IF($A85="","",IFERROR(INDEX('4'!$A$107:$A$206,MATCH($A85,'4'!$C$107:$C$206,0)),""))</f>
        <v/>
      </c>
      <c r="J85" s="15">
        <f>IF($A85="",0,IFERROR(INDEX('4'!$I$107:$I$206,MATCH($A85,'4'!$C$107:$C$206,0)),0))</f>
        <v>0</v>
      </c>
      <c r="K85" s="24" t="str">
        <f>IF($A85="","",IFERROR(INDEX('5'!$A$107:$A$206,MATCH($A85,'5'!$C$107:$C$206,0)),""))</f>
        <v/>
      </c>
      <c r="L85" s="15">
        <f>IF($A85="",0,IFERROR(INDEX('5'!$I$107:$I$206,MATCH($A85,'5'!$C$107:$C$206,0)),0))</f>
        <v>0</v>
      </c>
      <c r="M85" s="25" t="str">
        <f>IF($A85="","",D85+F85+H85+J85+L85)</f>
        <v/>
      </c>
      <c r="N85" s="26" t="str">
        <f>IF(OR($A85="",M85="",M85=0),"",RANK(M85,$M$4:$M$203,0))</f>
        <v/>
      </c>
      <c r="AA85">
        <f>Barneveld!C124</f>
        <v>0</v>
      </c>
      <c r="AB85">
        <f>IF(AA85="",0,IF(COUNTIF($AA$1:AA85,AA85)=1,1,0))</f>
        <v>0</v>
      </c>
      <c r="AC85" t="str">
        <f>IF(AB85=1,COUNTIF($AB$1:AB85,1),"")</f>
        <v/>
      </c>
    </row>
    <row r="86" spans="1:29" x14ac:dyDescent="0.25">
      <c r="A86" s="13" t="str">
        <f>IFERROR(INDEX($AA$1:$AA$400,MATCH(83,$AC$1:$AC$400,0)),"")</f>
        <v/>
      </c>
      <c r="B86" s="13" t="str">
        <f>IF($A86="","",IF(IFERROR(INDEX(Barneveld!$E$40:$E$139,MATCH($A86,Barneveld!$C$40:$C$139,0)),"")&lt;&gt;"",IFERROR(INDEX(Barneveld!$E$40:$E$139,MATCH($A86,Barneveld!$C$40:$C$139,0)),""),IF(IFERROR(INDEX(Scherpenzeel!$F$107:$F$206,MATCH($A86,Scherpenzeel!$C$107:$C$206,0)),"")&lt;&gt;"",IFERROR(INDEX(Scherpenzeel!$F$107:$F$206,MATCH($A86,Scherpenzeel!$C$107:$C$206,0)),""),IF(IFERROR(INDEX('4'!$F$107:$F$206,MATCH($A86,'4'!$C$107:$C$206,0)),"")&lt;&gt;"",IFERROR(INDEX('4'!$F$107:$F$206,MATCH($A86,'4'!$C$107:$C$206,0)),""),IFERROR(INDEX('5'!$F$107:$F$206,MATCH($A86,'5'!$C$107:$C$206,0)),"")))))</f>
        <v/>
      </c>
      <c r="C86" s="24" t="str">
        <f>IF($A86="","",IFERROR(INDEX(Barneveld!$A$40:$A$139,MATCH($A86,Barneveld!$C$40:$C$139,0)),""))</f>
        <v/>
      </c>
      <c r="D86" s="15">
        <f>IF($A86="",0,IFERROR(INDEX(Barneveld!$H$40:$H$139,MATCH($A86,Barneveld!$C$40:$C$139,0)),0))</f>
        <v>0</v>
      </c>
      <c r="E86" s="24" t="str">
        <f>""</f>
        <v/>
      </c>
      <c r="F86" s="15">
        <f>0</f>
        <v>0</v>
      </c>
      <c r="G86" s="24" t="str">
        <f>IF($A86="","",IFERROR(INDEX(Scherpenzeel!$A$107:$A$206,MATCH($A86,Scherpenzeel!$C$107:$C$206,0)),""))</f>
        <v/>
      </c>
      <c r="H86" s="15">
        <f>IF($A86="",0,IFERROR(INDEX(Scherpenzeel!$I$107:$I$206,MATCH($A86,Scherpenzeel!$C$107:$C$206,0)),0))</f>
        <v>0</v>
      </c>
      <c r="I86" s="24" t="str">
        <f>IF($A86="","",IFERROR(INDEX('4'!$A$107:$A$206,MATCH($A86,'4'!$C$107:$C$206,0)),""))</f>
        <v/>
      </c>
      <c r="J86" s="15">
        <f>IF($A86="",0,IFERROR(INDEX('4'!$I$107:$I$206,MATCH($A86,'4'!$C$107:$C$206,0)),0))</f>
        <v>0</v>
      </c>
      <c r="K86" s="24" t="str">
        <f>IF($A86="","",IFERROR(INDEX('5'!$A$107:$A$206,MATCH($A86,'5'!$C$107:$C$206,0)),""))</f>
        <v/>
      </c>
      <c r="L86" s="15">
        <f>IF($A86="",0,IFERROR(INDEX('5'!$I$107:$I$206,MATCH($A86,'5'!$C$107:$C$206,0)),0))</f>
        <v>0</v>
      </c>
      <c r="M86" s="25" t="str">
        <f>IF($A86="","",D86+F86+H86+J86+L86)</f>
        <v/>
      </c>
      <c r="N86" s="26" t="str">
        <f>IF(OR($A86="",M86="",M86=0),"",RANK(M86,$M$4:$M$203,0))</f>
        <v/>
      </c>
      <c r="AA86">
        <f>Barneveld!C125</f>
        <v>0</v>
      </c>
      <c r="AB86">
        <f>IF(AA86="",0,IF(COUNTIF($AA$1:AA86,AA86)=1,1,0))</f>
        <v>0</v>
      </c>
      <c r="AC86" t="str">
        <f>IF(AB86=1,COUNTIF($AB$1:AB86,1),"")</f>
        <v/>
      </c>
    </row>
    <row r="87" spans="1:29" x14ac:dyDescent="0.25">
      <c r="A87" s="13" t="str">
        <f>IFERROR(INDEX($AA$1:$AA$400,MATCH(84,$AC$1:$AC$400,0)),"")</f>
        <v/>
      </c>
      <c r="B87" s="13" t="str">
        <f>IF($A87="","",IF(IFERROR(INDEX(Barneveld!$E$40:$E$139,MATCH($A87,Barneveld!$C$40:$C$139,0)),"")&lt;&gt;"",IFERROR(INDEX(Barneveld!$E$40:$E$139,MATCH($A87,Barneveld!$C$40:$C$139,0)),""),IF(IFERROR(INDEX(Scherpenzeel!$F$107:$F$206,MATCH($A87,Scherpenzeel!$C$107:$C$206,0)),"")&lt;&gt;"",IFERROR(INDEX(Scherpenzeel!$F$107:$F$206,MATCH($A87,Scherpenzeel!$C$107:$C$206,0)),""),IF(IFERROR(INDEX('4'!$F$107:$F$206,MATCH($A87,'4'!$C$107:$C$206,0)),"")&lt;&gt;"",IFERROR(INDEX('4'!$F$107:$F$206,MATCH($A87,'4'!$C$107:$C$206,0)),""),IFERROR(INDEX('5'!$F$107:$F$206,MATCH($A87,'5'!$C$107:$C$206,0)),"")))))</f>
        <v/>
      </c>
      <c r="C87" s="24" t="str">
        <f>IF($A87="","",IFERROR(INDEX(Barneveld!$A$40:$A$139,MATCH($A87,Barneveld!$C$40:$C$139,0)),""))</f>
        <v/>
      </c>
      <c r="D87" s="15">
        <f>IF($A87="",0,IFERROR(INDEX(Barneveld!$H$40:$H$139,MATCH($A87,Barneveld!$C$40:$C$139,0)),0))</f>
        <v>0</v>
      </c>
      <c r="E87" s="24" t="str">
        <f>""</f>
        <v/>
      </c>
      <c r="F87" s="15">
        <f>0</f>
        <v>0</v>
      </c>
      <c r="G87" s="24" t="str">
        <f>IF($A87="","",IFERROR(INDEX(Scherpenzeel!$A$107:$A$206,MATCH($A87,Scherpenzeel!$C$107:$C$206,0)),""))</f>
        <v/>
      </c>
      <c r="H87" s="15">
        <f>IF($A87="",0,IFERROR(INDEX(Scherpenzeel!$I$107:$I$206,MATCH($A87,Scherpenzeel!$C$107:$C$206,0)),0))</f>
        <v>0</v>
      </c>
      <c r="I87" s="24" t="str">
        <f>IF($A87="","",IFERROR(INDEX('4'!$A$107:$A$206,MATCH($A87,'4'!$C$107:$C$206,0)),""))</f>
        <v/>
      </c>
      <c r="J87" s="15">
        <f>IF($A87="",0,IFERROR(INDEX('4'!$I$107:$I$206,MATCH($A87,'4'!$C$107:$C$206,0)),0))</f>
        <v>0</v>
      </c>
      <c r="K87" s="24" t="str">
        <f>IF($A87="","",IFERROR(INDEX('5'!$A$107:$A$206,MATCH($A87,'5'!$C$107:$C$206,0)),""))</f>
        <v/>
      </c>
      <c r="L87" s="15">
        <f>IF($A87="",0,IFERROR(INDEX('5'!$I$107:$I$206,MATCH($A87,'5'!$C$107:$C$206,0)),0))</f>
        <v>0</v>
      </c>
      <c r="M87" s="25" t="str">
        <f>IF($A87="","",D87+F87+H87+J87+L87)</f>
        <v/>
      </c>
      <c r="N87" s="26" t="str">
        <f>IF(OR($A87="",M87="",M87=0),"",RANK(M87,$M$4:$M$203,0))</f>
        <v/>
      </c>
      <c r="AA87">
        <f>Barneveld!C126</f>
        <v>0</v>
      </c>
      <c r="AB87">
        <f>IF(AA87="",0,IF(COUNTIF($AA$1:AA87,AA87)=1,1,0))</f>
        <v>0</v>
      </c>
      <c r="AC87" t="str">
        <f>IF(AB87=1,COUNTIF($AB$1:AB87,1),"")</f>
        <v/>
      </c>
    </row>
    <row r="88" spans="1:29" x14ac:dyDescent="0.25">
      <c r="A88" s="13" t="str">
        <f>IFERROR(INDEX($AA$1:$AA$400,MATCH(85,$AC$1:$AC$400,0)),"")</f>
        <v/>
      </c>
      <c r="B88" s="13" t="str">
        <f>IF($A88="","",IF(IFERROR(INDEX(Barneveld!$E$40:$E$139,MATCH($A88,Barneveld!$C$40:$C$139,0)),"")&lt;&gt;"",IFERROR(INDEX(Barneveld!$E$40:$E$139,MATCH($A88,Barneveld!$C$40:$C$139,0)),""),IF(IFERROR(INDEX(Scherpenzeel!$F$107:$F$206,MATCH($A88,Scherpenzeel!$C$107:$C$206,0)),"")&lt;&gt;"",IFERROR(INDEX(Scherpenzeel!$F$107:$F$206,MATCH($A88,Scherpenzeel!$C$107:$C$206,0)),""),IF(IFERROR(INDEX('4'!$F$107:$F$206,MATCH($A88,'4'!$C$107:$C$206,0)),"")&lt;&gt;"",IFERROR(INDEX('4'!$F$107:$F$206,MATCH($A88,'4'!$C$107:$C$206,0)),""),IFERROR(INDEX('5'!$F$107:$F$206,MATCH($A88,'5'!$C$107:$C$206,0)),"")))))</f>
        <v/>
      </c>
      <c r="C88" s="24" t="str">
        <f>IF($A88="","",IFERROR(INDEX(Barneveld!$A$40:$A$139,MATCH($A88,Barneveld!$C$40:$C$139,0)),""))</f>
        <v/>
      </c>
      <c r="D88" s="15">
        <f>IF($A88="",0,IFERROR(INDEX(Barneveld!$H$40:$H$139,MATCH($A88,Barneveld!$C$40:$C$139,0)),0))</f>
        <v>0</v>
      </c>
      <c r="E88" s="24" t="str">
        <f>""</f>
        <v/>
      </c>
      <c r="F88" s="15">
        <f>0</f>
        <v>0</v>
      </c>
      <c r="G88" s="24" t="str">
        <f>IF($A88="","",IFERROR(INDEX(Scherpenzeel!$A$107:$A$206,MATCH($A88,Scherpenzeel!$C$107:$C$206,0)),""))</f>
        <v/>
      </c>
      <c r="H88" s="15">
        <f>IF($A88="",0,IFERROR(INDEX(Scherpenzeel!$I$107:$I$206,MATCH($A88,Scherpenzeel!$C$107:$C$206,0)),0))</f>
        <v>0</v>
      </c>
      <c r="I88" s="24" t="str">
        <f>IF($A88="","",IFERROR(INDEX('4'!$A$107:$A$206,MATCH($A88,'4'!$C$107:$C$206,0)),""))</f>
        <v/>
      </c>
      <c r="J88" s="15">
        <f>IF($A88="",0,IFERROR(INDEX('4'!$I$107:$I$206,MATCH($A88,'4'!$C$107:$C$206,0)),0))</f>
        <v>0</v>
      </c>
      <c r="K88" s="24" t="str">
        <f>IF($A88="","",IFERROR(INDEX('5'!$A$107:$A$206,MATCH($A88,'5'!$C$107:$C$206,0)),""))</f>
        <v/>
      </c>
      <c r="L88" s="15">
        <f>IF($A88="",0,IFERROR(INDEX('5'!$I$107:$I$206,MATCH($A88,'5'!$C$107:$C$206,0)),0))</f>
        <v>0</v>
      </c>
      <c r="M88" s="25" t="str">
        <f>IF($A88="","",D88+F88+H88+J88+L88)</f>
        <v/>
      </c>
      <c r="N88" s="26" t="str">
        <f>IF(OR($A88="",M88="",M88=0),"",RANK(M88,$M$4:$M$203,0))</f>
        <v/>
      </c>
      <c r="AA88">
        <f>Barneveld!C127</f>
        <v>0</v>
      </c>
      <c r="AB88">
        <f>IF(AA88="",0,IF(COUNTIF($AA$1:AA88,AA88)=1,1,0))</f>
        <v>0</v>
      </c>
      <c r="AC88" t="str">
        <f>IF(AB88=1,COUNTIF($AB$1:AB88,1),"")</f>
        <v/>
      </c>
    </row>
    <row r="89" spans="1:29" x14ac:dyDescent="0.25">
      <c r="A89" s="13" t="str">
        <f>IFERROR(INDEX($AA$1:$AA$400,MATCH(86,$AC$1:$AC$400,0)),"")</f>
        <v/>
      </c>
      <c r="B89" s="13" t="str">
        <f>IF($A89="","",IF(IFERROR(INDEX(Barneveld!$E$40:$E$139,MATCH($A89,Barneveld!$C$40:$C$139,0)),"")&lt;&gt;"",IFERROR(INDEX(Barneveld!$E$40:$E$139,MATCH($A89,Barneveld!$C$40:$C$139,0)),""),IF(IFERROR(INDEX(Scherpenzeel!$F$107:$F$206,MATCH($A89,Scherpenzeel!$C$107:$C$206,0)),"")&lt;&gt;"",IFERROR(INDEX(Scherpenzeel!$F$107:$F$206,MATCH($A89,Scherpenzeel!$C$107:$C$206,0)),""),IF(IFERROR(INDEX('4'!$F$107:$F$206,MATCH($A89,'4'!$C$107:$C$206,0)),"")&lt;&gt;"",IFERROR(INDEX('4'!$F$107:$F$206,MATCH($A89,'4'!$C$107:$C$206,0)),""),IFERROR(INDEX('5'!$F$107:$F$206,MATCH($A89,'5'!$C$107:$C$206,0)),"")))))</f>
        <v/>
      </c>
      <c r="C89" s="24" t="str">
        <f>IF($A89="","",IFERROR(INDEX(Barneveld!$A$40:$A$139,MATCH($A89,Barneveld!$C$40:$C$139,0)),""))</f>
        <v/>
      </c>
      <c r="D89" s="15">
        <f>IF($A89="",0,IFERROR(INDEX(Barneveld!$H$40:$H$139,MATCH($A89,Barneveld!$C$40:$C$139,0)),0))</f>
        <v>0</v>
      </c>
      <c r="E89" s="24" t="str">
        <f>""</f>
        <v/>
      </c>
      <c r="F89" s="15">
        <f>0</f>
        <v>0</v>
      </c>
      <c r="G89" s="24" t="str">
        <f>IF($A89="","",IFERROR(INDEX(Scherpenzeel!$A$107:$A$206,MATCH($A89,Scherpenzeel!$C$107:$C$206,0)),""))</f>
        <v/>
      </c>
      <c r="H89" s="15">
        <f>IF($A89="",0,IFERROR(INDEX(Scherpenzeel!$I$107:$I$206,MATCH($A89,Scherpenzeel!$C$107:$C$206,0)),0))</f>
        <v>0</v>
      </c>
      <c r="I89" s="24" t="str">
        <f>IF($A89="","",IFERROR(INDEX('4'!$A$107:$A$206,MATCH($A89,'4'!$C$107:$C$206,0)),""))</f>
        <v/>
      </c>
      <c r="J89" s="15">
        <f>IF($A89="",0,IFERROR(INDEX('4'!$I$107:$I$206,MATCH($A89,'4'!$C$107:$C$206,0)),0))</f>
        <v>0</v>
      </c>
      <c r="K89" s="24" t="str">
        <f>IF($A89="","",IFERROR(INDEX('5'!$A$107:$A$206,MATCH($A89,'5'!$C$107:$C$206,0)),""))</f>
        <v/>
      </c>
      <c r="L89" s="15">
        <f>IF($A89="",0,IFERROR(INDEX('5'!$I$107:$I$206,MATCH($A89,'5'!$C$107:$C$206,0)),0))</f>
        <v>0</v>
      </c>
      <c r="M89" s="25" t="str">
        <f>IF($A89="","",D89+F89+H89+J89+L89)</f>
        <v/>
      </c>
      <c r="N89" s="26" t="str">
        <f>IF(OR($A89="",M89="",M89=0),"",RANK(M89,$M$4:$M$203,0))</f>
        <v/>
      </c>
      <c r="AA89">
        <f>Barneveld!C128</f>
        <v>0</v>
      </c>
      <c r="AB89">
        <f>IF(AA89="",0,IF(COUNTIF($AA$1:AA89,AA89)=1,1,0))</f>
        <v>0</v>
      </c>
      <c r="AC89" t="str">
        <f>IF(AB89=1,COUNTIF($AB$1:AB89,1),"")</f>
        <v/>
      </c>
    </row>
    <row r="90" spans="1:29" x14ac:dyDescent="0.25">
      <c r="A90" s="13" t="str">
        <f>IFERROR(INDEX($AA$1:$AA$400,MATCH(87,$AC$1:$AC$400,0)),"")</f>
        <v/>
      </c>
      <c r="B90" s="13" t="str">
        <f>IF($A90="","",IF(IFERROR(INDEX(Barneveld!$E$40:$E$139,MATCH($A90,Barneveld!$C$40:$C$139,0)),"")&lt;&gt;"",IFERROR(INDEX(Barneveld!$E$40:$E$139,MATCH($A90,Barneveld!$C$40:$C$139,0)),""),IF(IFERROR(INDEX(Scherpenzeel!$F$107:$F$206,MATCH($A90,Scherpenzeel!$C$107:$C$206,0)),"")&lt;&gt;"",IFERROR(INDEX(Scherpenzeel!$F$107:$F$206,MATCH($A90,Scherpenzeel!$C$107:$C$206,0)),""),IF(IFERROR(INDEX('4'!$F$107:$F$206,MATCH($A90,'4'!$C$107:$C$206,0)),"")&lt;&gt;"",IFERROR(INDEX('4'!$F$107:$F$206,MATCH($A90,'4'!$C$107:$C$206,0)),""),IFERROR(INDEX('5'!$F$107:$F$206,MATCH($A90,'5'!$C$107:$C$206,0)),"")))))</f>
        <v/>
      </c>
      <c r="C90" s="24" t="str">
        <f>IF($A90="","",IFERROR(INDEX(Barneveld!$A$40:$A$139,MATCH($A90,Barneveld!$C$40:$C$139,0)),""))</f>
        <v/>
      </c>
      <c r="D90" s="15">
        <f>IF($A90="",0,IFERROR(INDEX(Barneveld!$H$40:$H$139,MATCH($A90,Barneveld!$C$40:$C$139,0)),0))</f>
        <v>0</v>
      </c>
      <c r="E90" s="24" t="str">
        <f>""</f>
        <v/>
      </c>
      <c r="F90" s="15">
        <f>0</f>
        <v>0</v>
      </c>
      <c r="G90" s="24" t="str">
        <f>IF($A90="","",IFERROR(INDEX(Scherpenzeel!$A$107:$A$206,MATCH($A90,Scherpenzeel!$C$107:$C$206,0)),""))</f>
        <v/>
      </c>
      <c r="H90" s="15">
        <f>IF($A90="",0,IFERROR(INDEX(Scherpenzeel!$I$107:$I$206,MATCH($A90,Scherpenzeel!$C$107:$C$206,0)),0))</f>
        <v>0</v>
      </c>
      <c r="I90" s="24" t="str">
        <f>IF($A90="","",IFERROR(INDEX('4'!$A$107:$A$206,MATCH($A90,'4'!$C$107:$C$206,0)),""))</f>
        <v/>
      </c>
      <c r="J90" s="15">
        <f>IF($A90="",0,IFERROR(INDEX('4'!$I$107:$I$206,MATCH($A90,'4'!$C$107:$C$206,0)),0))</f>
        <v>0</v>
      </c>
      <c r="K90" s="24" t="str">
        <f>IF($A90="","",IFERROR(INDEX('5'!$A$107:$A$206,MATCH($A90,'5'!$C$107:$C$206,0)),""))</f>
        <v/>
      </c>
      <c r="L90" s="15">
        <f>IF($A90="",0,IFERROR(INDEX('5'!$I$107:$I$206,MATCH($A90,'5'!$C$107:$C$206,0)),0))</f>
        <v>0</v>
      </c>
      <c r="M90" s="25" t="str">
        <f>IF($A90="","",D90+F90+H90+J90+L90)</f>
        <v/>
      </c>
      <c r="N90" s="26" t="str">
        <f>IF(OR($A90="",M90="",M90=0),"",RANK(M90,$M$4:$M$203,0))</f>
        <v/>
      </c>
      <c r="AA90">
        <f>Barneveld!C129</f>
        <v>0</v>
      </c>
      <c r="AB90">
        <f>IF(AA90="",0,IF(COUNTIF($AA$1:AA90,AA90)=1,1,0))</f>
        <v>0</v>
      </c>
      <c r="AC90" t="str">
        <f>IF(AB90=1,COUNTIF($AB$1:AB90,1),"")</f>
        <v/>
      </c>
    </row>
    <row r="91" spans="1:29" x14ac:dyDescent="0.25">
      <c r="A91" s="13" t="str">
        <f>IFERROR(INDEX($AA$1:$AA$400,MATCH(88,$AC$1:$AC$400,0)),"")</f>
        <v/>
      </c>
      <c r="B91" s="13" t="str">
        <f>IF($A91="","",IF(IFERROR(INDEX(Barneveld!$E$40:$E$139,MATCH($A91,Barneveld!$C$40:$C$139,0)),"")&lt;&gt;"",IFERROR(INDEX(Barneveld!$E$40:$E$139,MATCH($A91,Barneveld!$C$40:$C$139,0)),""),IF(IFERROR(INDEX(Scherpenzeel!$F$107:$F$206,MATCH($A91,Scherpenzeel!$C$107:$C$206,0)),"")&lt;&gt;"",IFERROR(INDEX(Scherpenzeel!$F$107:$F$206,MATCH($A91,Scherpenzeel!$C$107:$C$206,0)),""),IF(IFERROR(INDEX('4'!$F$107:$F$206,MATCH($A91,'4'!$C$107:$C$206,0)),"")&lt;&gt;"",IFERROR(INDEX('4'!$F$107:$F$206,MATCH($A91,'4'!$C$107:$C$206,0)),""),IFERROR(INDEX('5'!$F$107:$F$206,MATCH($A91,'5'!$C$107:$C$206,0)),"")))))</f>
        <v/>
      </c>
      <c r="C91" s="24" t="str">
        <f>IF($A91="","",IFERROR(INDEX(Barneveld!$A$40:$A$139,MATCH($A91,Barneveld!$C$40:$C$139,0)),""))</f>
        <v/>
      </c>
      <c r="D91" s="15">
        <f>IF($A91="",0,IFERROR(INDEX(Barneveld!$H$40:$H$139,MATCH($A91,Barneveld!$C$40:$C$139,0)),0))</f>
        <v>0</v>
      </c>
      <c r="E91" s="24" t="str">
        <f>""</f>
        <v/>
      </c>
      <c r="F91" s="15">
        <f>0</f>
        <v>0</v>
      </c>
      <c r="G91" s="24" t="str">
        <f>IF($A91="","",IFERROR(INDEX(Scherpenzeel!$A$107:$A$206,MATCH($A91,Scherpenzeel!$C$107:$C$206,0)),""))</f>
        <v/>
      </c>
      <c r="H91" s="15">
        <f>IF($A91="",0,IFERROR(INDEX(Scherpenzeel!$I$107:$I$206,MATCH($A91,Scherpenzeel!$C$107:$C$206,0)),0))</f>
        <v>0</v>
      </c>
      <c r="I91" s="24" t="str">
        <f>IF($A91="","",IFERROR(INDEX('4'!$A$107:$A$206,MATCH($A91,'4'!$C$107:$C$206,0)),""))</f>
        <v/>
      </c>
      <c r="J91" s="15">
        <f>IF($A91="",0,IFERROR(INDEX('4'!$I$107:$I$206,MATCH($A91,'4'!$C$107:$C$206,0)),0))</f>
        <v>0</v>
      </c>
      <c r="K91" s="24" t="str">
        <f>IF($A91="","",IFERROR(INDEX('5'!$A$107:$A$206,MATCH($A91,'5'!$C$107:$C$206,0)),""))</f>
        <v/>
      </c>
      <c r="L91" s="15">
        <f>IF($A91="",0,IFERROR(INDEX('5'!$I$107:$I$206,MATCH($A91,'5'!$C$107:$C$206,0)),0))</f>
        <v>0</v>
      </c>
      <c r="M91" s="25" t="str">
        <f>IF($A91="","",D91+F91+H91+J91+L91)</f>
        <v/>
      </c>
      <c r="N91" s="26" t="str">
        <f>IF(OR($A91="",M91="",M91=0),"",RANK(M91,$M$4:$M$203,0))</f>
        <v/>
      </c>
      <c r="AA91">
        <f>Barneveld!C130</f>
        <v>0</v>
      </c>
      <c r="AB91">
        <f>IF(AA91="",0,IF(COUNTIF($AA$1:AA91,AA91)=1,1,0))</f>
        <v>0</v>
      </c>
      <c r="AC91" t="str">
        <f>IF(AB91=1,COUNTIF($AB$1:AB91,1),"")</f>
        <v/>
      </c>
    </row>
    <row r="92" spans="1:29" x14ac:dyDescent="0.25">
      <c r="A92" s="13" t="str">
        <f>IFERROR(INDEX($AA$1:$AA$400,MATCH(89,$AC$1:$AC$400,0)),"")</f>
        <v/>
      </c>
      <c r="B92" s="13" t="str">
        <f>IF($A92="","",IF(IFERROR(INDEX(Barneveld!$E$40:$E$139,MATCH($A92,Barneveld!$C$40:$C$139,0)),"")&lt;&gt;"",IFERROR(INDEX(Barneveld!$E$40:$E$139,MATCH($A92,Barneveld!$C$40:$C$139,0)),""),IF(IFERROR(INDEX(Scherpenzeel!$F$107:$F$206,MATCH($A92,Scherpenzeel!$C$107:$C$206,0)),"")&lt;&gt;"",IFERROR(INDEX(Scherpenzeel!$F$107:$F$206,MATCH($A92,Scherpenzeel!$C$107:$C$206,0)),""),IF(IFERROR(INDEX('4'!$F$107:$F$206,MATCH($A92,'4'!$C$107:$C$206,0)),"")&lt;&gt;"",IFERROR(INDEX('4'!$F$107:$F$206,MATCH($A92,'4'!$C$107:$C$206,0)),""),IFERROR(INDEX('5'!$F$107:$F$206,MATCH($A92,'5'!$C$107:$C$206,0)),"")))))</f>
        <v/>
      </c>
      <c r="C92" s="24" t="str">
        <f>IF($A92="","",IFERROR(INDEX(Barneveld!$A$40:$A$139,MATCH($A92,Barneveld!$C$40:$C$139,0)),""))</f>
        <v/>
      </c>
      <c r="D92" s="15">
        <f>IF($A92="",0,IFERROR(INDEX(Barneveld!$H$40:$H$139,MATCH($A92,Barneveld!$C$40:$C$139,0)),0))</f>
        <v>0</v>
      </c>
      <c r="E92" s="24" t="str">
        <f>""</f>
        <v/>
      </c>
      <c r="F92" s="15">
        <f>0</f>
        <v>0</v>
      </c>
      <c r="G92" s="24" t="str">
        <f>IF($A92="","",IFERROR(INDEX(Scherpenzeel!$A$107:$A$206,MATCH($A92,Scherpenzeel!$C$107:$C$206,0)),""))</f>
        <v/>
      </c>
      <c r="H92" s="15">
        <f>IF($A92="",0,IFERROR(INDEX(Scherpenzeel!$I$107:$I$206,MATCH($A92,Scherpenzeel!$C$107:$C$206,0)),0))</f>
        <v>0</v>
      </c>
      <c r="I92" s="24" t="str">
        <f>IF($A92="","",IFERROR(INDEX('4'!$A$107:$A$206,MATCH($A92,'4'!$C$107:$C$206,0)),""))</f>
        <v/>
      </c>
      <c r="J92" s="15">
        <f>IF($A92="",0,IFERROR(INDEX('4'!$I$107:$I$206,MATCH($A92,'4'!$C$107:$C$206,0)),0))</f>
        <v>0</v>
      </c>
      <c r="K92" s="24" t="str">
        <f>IF($A92="","",IFERROR(INDEX('5'!$A$107:$A$206,MATCH($A92,'5'!$C$107:$C$206,0)),""))</f>
        <v/>
      </c>
      <c r="L92" s="15">
        <f>IF($A92="",0,IFERROR(INDEX('5'!$I$107:$I$206,MATCH($A92,'5'!$C$107:$C$206,0)),0))</f>
        <v>0</v>
      </c>
      <c r="M92" s="25" t="str">
        <f>IF($A92="","",D92+F92+H92+J92+L92)</f>
        <v/>
      </c>
      <c r="N92" s="26" t="str">
        <f>IF(OR($A92="",M92="",M92=0),"",RANK(M92,$M$4:$M$203,0))</f>
        <v/>
      </c>
      <c r="AA92">
        <f>Barneveld!C131</f>
        <v>0</v>
      </c>
      <c r="AB92">
        <f>IF(AA92="",0,IF(COUNTIF($AA$1:AA92,AA92)=1,1,0))</f>
        <v>0</v>
      </c>
      <c r="AC92" t="str">
        <f>IF(AB92=1,COUNTIF($AB$1:AB92,1),"")</f>
        <v/>
      </c>
    </row>
    <row r="93" spans="1:29" x14ac:dyDescent="0.25">
      <c r="A93" s="13" t="str">
        <f>IFERROR(INDEX($AA$1:$AA$400,MATCH(90,$AC$1:$AC$400,0)),"")</f>
        <v/>
      </c>
      <c r="B93" s="13" t="str">
        <f>IF($A93="","",IF(IFERROR(INDEX(Barneveld!$E$40:$E$139,MATCH($A93,Barneveld!$C$40:$C$139,0)),"")&lt;&gt;"",IFERROR(INDEX(Barneveld!$E$40:$E$139,MATCH($A93,Barneveld!$C$40:$C$139,0)),""),IF(IFERROR(INDEX(Scherpenzeel!$F$107:$F$206,MATCH($A93,Scherpenzeel!$C$107:$C$206,0)),"")&lt;&gt;"",IFERROR(INDEX(Scherpenzeel!$F$107:$F$206,MATCH($A93,Scherpenzeel!$C$107:$C$206,0)),""),IF(IFERROR(INDEX('4'!$F$107:$F$206,MATCH($A93,'4'!$C$107:$C$206,0)),"")&lt;&gt;"",IFERROR(INDEX('4'!$F$107:$F$206,MATCH($A93,'4'!$C$107:$C$206,0)),""),IFERROR(INDEX('5'!$F$107:$F$206,MATCH($A93,'5'!$C$107:$C$206,0)),"")))))</f>
        <v/>
      </c>
      <c r="C93" s="24" t="str">
        <f>IF($A93="","",IFERROR(INDEX(Barneveld!$A$40:$A$139,MATCH($A93,Barneveld!$C$40:$C$139,0)),""))</f>
        <v/>
      </c>
      <c r="D93" s="15">
        <f>IF($A93="",0,IFERROR(INDEX(Barneveld!$H$40:$H$139,MATCH($A93,Barneveld!$C$40:$C$139,0)),0))</f>
        <v>0</v>
      </c>
      <c r="E93" s="24" t="str">
        <f>""</f>
        <v/>
      </c>
      <c r="F93" s="15">
        <f>0</f>
        <v>0</v>
      </c>
      <c r="G93" s="24" t="str">
        <f>IF($A93="","",IFERROR(INDEX(Scherpenzeel!$A$107:$A$206,MATCH($A93,Scherpenzeel!$C$107:$C$206,0)),""))</f>
        <v/>
      </c>
      <c r="H93" s="15">
        <f>IF($A93="",0,IFERROR(INDEX(Scherpenzeel!$I$107:$I$206,MATCH($A93,Scherpenzeel!$C$107:$C$206,0)),0))</f>
        <v>0</v>
      </c>
      <c r="I93" s="24" t="str">
        <f>IF($A93="","",IFERROR(INDEX('4'!$A$107:$A$206,MATCH($A93,'4'!$C$107:$C$206,0)),""))</f>
        <v/>
      </c>
      <c r="J93" s="15">
        <f>IF($A93="",0,IFERROR(INDEX('4'!$I$107:$I$206,MATCH($A93,'4'!$C$107:$C$206,0)),0))</f>
        <v>0</v>
      </c>
      <c r="K93" s="24" t="str">
        <f>IF($A93="","",IFERROR(INDEX('5'!$A$107:$A$206,MATCH($A93,'5'!$C$107:$C$206,0)),""))</f>
        <v/>
      </c>
      <c r="L93" s="15">
        <f>IF($A93="",0,IFERROR(INDEX('5'!$I$107:$I$206,MATCH($A93,'5'!$C$107:$C$206,0)),0))</f>
        <v>0</v>
      </c>
      <c r="M93" s="25" t="str">
        <f>IF($A93="","",D93+F93+H93+J93+L93)</f>
        <v/>
      </c>
      <c r="N93" s="26" t="str">
        <f>IF(OR($A93="",M93="",M93=0),"",RANK(M93,$M$4:$M$203,0))</f>
        <v/>
      </c>
      <c r="AA93">
        <f>Barneveld!C132</f>
        <v>0</v>
      </c>
      <c r="AB93">
        <f>IF(AA93="",0,IF(COUNTIF($AA$1:AA93,AA93)=1,1,0))</f>
        <v>0</v>
      </c>
      <c r="AC93" t="str">
        <f>IF(AB93=1,COUNTIF($AB$1:AB93,1),"")</f>
        <v/>
      </c>
    </row>
    <row r="94" spans="1:29" x14ac:dyDescent="0.25">
      <c r="A94" s="13" t="str">
        <f>IFERROR(INDEX($AA$1:$AA$400,MATCH(91,$AC$1:$AC$400,0)),"")</f>
        <v/>
      </c>
      <c r="B94" s="13" t="str">
        <f>IF($A94="","",IF(IFERROR(INDEX(Barneveld!$E$40:$E$139,MATCH($A94,Barneveld!$C$40:$C$139,0)),"")&lt;&gt;"",IFERROR(INDEX(Barneveld!$E$40:$E$139,MATCH($A94,Barneveld!$C$40:$C$139,0)),""),IF(IFERROR(INDEX(Scherpenzeel!$F$107:$F$206,MATCH($A94,Scherpenzeel!$C$107:$C$206,0)),"")&lt;&gt;"",IFERROR(INDEX(Scherpenzeel!$F$107:$F$206,MATCH($A94,Scherpenzeel!$C$107:$C$206,0)),""),IF(IFERROR(INDEX('4'!$F$107:$F$206,MATCH($A94,'4'!$C$107:$C$206,0)),"")&lt;&gt;"",IFERROR(INDEX('4'!$F$107:$F$206,MATCH($A94,'4'!$C$107:$C$206,0)),""),IFERROR(INDEX('5'!$F$107:$F$206,MATCH($A94,'5'!$C$107:$C$206,0)),"")))))</f>
        <v/>
      </c>
      <c r="C94" s="24" t="str">
        <f>IF($A94="","",IFERROR(INDEX(Barneveld!$A$40:$A$139,MATCH($A94,Barneveld!$C$40:$C$139,0)),""))</f>
        <v/>
      </c>
      <c r="D94" s="15">
        <f>IF($A94="",0,IFERROR(INDEX(Barneveld!$H$40:$H$139,MATCH($A94,Barneveld!$C$40:$C$139,0)),0))</f>
        <v>0</v>
      </c>
      <c r="E94" s="24" t="str">
        <f>""</f>
        <v/>
      </c>
      <c r="F94" s="15">
        <f>0</f>
        <v>0</v>
      </c>
      <c r="G94" s="24" t="str">
        <f>IF($A94="","",IFERROR(INDEX(Scherpenzeel!$A$107:$A$206,MATCH($A94,Scherpenzeel!$C$107:$C$206,0)),""))</f>
        <v/>
      </c>
      <c r="H94" s="15">
        <f>IF($A94="",0,IFERROR(INDEX(Scherpenzeel!$I$107:$I$206,MATCH($A94,Scherpenzeel!$C$107:$C$206,0)),0))</f>
        <v>0</v>
      </c>
      <c r="I94" s="24" t="str">
        <f>IF($A94="","",IFERROR(INDEX('4'!$A$107:$A$206,MATCH($A94,'4'!$C$107:$C$206,0)),""))</f>
        <v/>
      </c>
      <c r="J94" s="15">
        <f>IF($A94="",0,IFERROR(INDEX('4'!$I$107:$I$206,MATCH($A94,'4'!$C$107:$C$206,0)),0))</f>
        <v>0</v>
      </c>
      <c r="K94" s="24" t="str">
        <f>IF($A94="","",IFERROR(INDEX('5'!$A$107:$A$206,MATCH($A94,'5'!$C$107:$C$206,0)),""))</f>
        <v/>
      </c>
      <c r="L94" s="15">
        <f>IF($A94="",0,IFERROR(INDEX('5'!$I$107:$I$206,MATCH($A94,'5'!$C$107:$C$206,0)),0))</f>
        <v>0</v>
      </c>
      <c r="M94" s="25" t="str">
        <f>IF($A94="","",D94+F94+H94+J94+L94)</f>
        <v/>
      </c>
      <c r="N94" s="26" t="str">
        <f>IF(OR($A94="",M94="",M94=0),"",RANK(M94,$M$4:$M$203,0))</f>
        <v/>
      </c>
      <c r="AA94">
        <f>Barneveld!C133</f>
        <v>0</v>
      </c>
      <c r="AB94">
        <f>IF(AA94="",0,IF(COUNTIF($AA$1:AA94,AA94)=1,1,0))</f>
        <v>0</v>
      </c>
      <c r="AC94" t="str">
        <f>IF(AB94=1,COUNTIF($AB$1:AB94,1),"")</f>
        <v/>
      </c>
    </row>
    <row r="95" spans="1:29" x14ac:dyDescent="0.25">
      <c r="A95" s="13" t="str">
        <f>IFERROR(INDEX($AA$1:$AA$400,MATCH(92,$AC$1:$AC$400,0)),"")</f>
        <v/>
      </c>
      <c r="B95" s="13" t="str">
        <f>IF($A95="","",IF(IFERROR(INDEX(Barneveld!$E$40:$E$139,MATCH($A95,Barneveld!$C$40:$C$139,0)),"")&lt;&gt;"",IFERROR(INDEX(Barneveld!$E$40:$E$139,MATCH($A95,Barneveld!$C$40:$C$139,0)),""),IF(IFERROR(INDEX(Scherpenzeel!$F$107:$F$206,MATCH($A95,Scherpenzeel!$C$107:$C$206,0)),"")&lt;&gt;"",IFERROR(INDEX(Scherpenzeel!$F$107:$F$206,MATCH($A95,Scherpenzeel!$C$107:$C$206,0)),""),IF(IFERROR(INDEX('4'!$F$107:$F$206,MATCH($A95,'4'!$C$107:$C$206,0)),"")&lt;&gt;"",IFERROR(INDEX('4'!$F$107:$F$206,MATCH($A95,'4'!$C$107:$C$206,0)),""),IFERROR(INDEX('5'!$F$107:$F$206,MATCH($A95,'5'!$C$107:$C$206,0)),"")))))</f>
        <v/>
      </c>
      <c r="C95" s="24" t="str">
        <f>IF($A95="","",IFERROR(INDEX(Barneveld!$A$40:$A$139,MATCH($A95,Barneveld!$C$40:$C$139,0)),""))</f>
        <v/>
      </c>
      <c r="D95" s="15">
        <f>IF($A95="",0,IFERROR(INDEX(Barneveld!$H$40:$H$139,MATCH($A95,Barneveld!$C$40:$C$139,0)),0))</f>
        <v>0</v>
      </c>
      <c r="E95" s="24" t="str">
        <f>""</f>
        <v/>
      </c>
      <c r="F95" s="15">
        <f>0</f>
        <v>0</v>
      </c>
      <c r="G95" s="24" t="str">
        <f>IF($A95="","",IFERROR(INDEX(Scherpenzeel!$A$107:$A$206,MATCH($A95,Scherpenzeel!$C$107:$C$206,0)),""))</f>
        <v/>
      </c>
      <c r="H95" s="15">
        <f>IF($A95="",0,IFERROR(INDEX(Scherpenzeel!$I$107:$I$206,MATCH($A95,Scherpenzeel!$C$107:$C$206,0)),0))</f>
        <v>0</v>
      </c>
      <c r="I95" s="24" t="str">
        <f>IF($A95="","",IFERROR(INDEX('4'!$A$107:$A$206,MATCH($A95,'4'!$C$107:$C$206,0)),""))</f>
        <v/>
      </c>
      <c r="J95" s="15">
        <f>IF($A95="",0,IFERROR(INDEX('4'!$I$107:$I$206,MATCH($A95,'4'!$C$107:$C$206,0)),0))</f>
        <v>0</v>
      </c>
      <c r="K95" s="24" t="str">
        <f>IF($A95="","",IFERROR(INDEX('5'!$A$107:$A$206,MATCH($A95,'5'!$C$107:$C$206,0)),""))</f>
        <v/>
      </c>
      <c r="L95" s="15">
        <f>IF($A95="",0,IFERROR(INDEX('5'!$I$107:$I$206,MATCH($A95,'5'!$C$107:$C$206,0)),0))</f>
        <v>0</v>
      </c>
      <c r="M95" s="25" t="str">
        <f>IF($A95="","",D95+F95+H95+J95+L95)</f>
        <v/>
      </c>
      <c r="N95" s="26" t="str">
        <f>IF(OR($A95="",M95="",M95=0),"",RANK(M95,$M$4:$M$203,0))</f>
        <v/>
      </c>
      <c r="AA95">
        <f>Barneveld!C134</f>
        <v>0</v>
      </c>
      <c r="AB95">
        <f>IF(AA95="",0,IF(COUNTIF($AA$1:AA95,AA95)=1,1,0))</f>
        <v>0</v>
      </c>
      <c r="AC95" t="str">
        <f>IF(AB95=1,COUNTIF($AB$1:AB95,1),"")</f>
        <v/>
      </c>
    </row>
    <row r="96" spans="1:29" x14ac:dyDescent="0.25">
      <c r="A96" s="13" t="str">
        <f>IFERROR(INDEX($AA$1:$AA$400,MATCH(93,$AC$1:$AC$400,0)),"")</f>
        <v/>
      </c>
      <c r="B96" s="13" t="str">
        <f>IF($A96="","",IF(IFERROR(INDEX(Barneveld!$E$40:$E$139,MATCH($A96,Barneveld!$C$40:$C$139,0)),"")&lt;&gt;"",IFERROR(INDEX(Barneveld!$E$40:$E$139,MATCH($A96,Barneveld!$C$40:$C$139,0)),""),IF(IFERROR(INDEX(Scherpenzeel!$F$107:$F$206,MATCH($A96,Scherpenzeel!$C$107:$C$206,0)),"")&lt;&gt;"",IFERROR(INDEX(Scherpenzeel!$F$107:$F$206,MATCH($A96,Scherpenzeel!$C$107:$C$206,0)),""),IF(IFERROR(INDEX('4'!$F$107:$F$206,MATCH($A96,'4'!$C$107:$C$206,0)),"")&lt;&gt;"",IFERROR(INDEX('4'!$F$107:$F$206,MATCH($A96,'4'!$C$107:$C$206,0)),""),IFERROR(INDEX('5'!$F$107:$F$206,MATCH($A96,'5'!$C$107:$C$206,0)),"")))))</f>
        <v/>
      </c>
      <c r="C96" s="24" t="str">
        <f>IF($A96="","",IFERROR(INDEX(Barneveld!$A$40:$A$139,MATCH($A96,Barneveld!$C$40:$C$139,0)),""))</f>
        <v/>
      </c>
      <c r="D96" s="15">
        <f>IF($A96="",0,IFERROR(INDEX(Barneveld!$H$40:$H$139,MATCH($A96,Barneveld!$C$40:$C$139,0)),0))</f>
        <v>0</v>
      </c>
      <c r="E96" s="24" t="str">
        <f>""</f>
        <v/>
      </c>
      <c r="F96" s="15">
        <f>0</f>
        <v>0</v>
      </c>
      <c r="G96" s="24" t="str">
        <f>IF($A96="","",IFERROR(INDEX(Scherpenzeel!$A$107:$A$206,MATCH($A96,Scherpenzeel!$C$107:$C$206,0)),""))</f>
        <v/>
      </c>
      <c r="H96" s="15">
        <f>IF($A96="",0,IFERROR(INDEX(Scherpenzeel!$I$107:$I$206,MATCH($A96,Scherpenzeel!$C$107:$C$206,0)),0))</f>
        <v>0</v>
      </c>
      <c r="I96" s="24" t="str">
        <f>IF($A96="","",IFERROR(INDEX('4'!$A$107:$A$206,MATCH($A96,'4'!$C$107:$C$206,0)),""))</f>
        <v/>
      </c>
      <c r="J96" s="15">
        <f>IF($A96="",0,IFERROR(INDEX('4'!$I$107:$I$206,MATCH($A96,'4'!$C$107:$C$206,0)),0))</f>
        <v>0</v>
      </c>
      <c r="K96" s="24" t="str">
        <f>IF($A96="","",IFERROR(INDEX('5'!$A$107:$A$206,MATCH($A96,'5'!$C$107:$C$206,0)),""))</f>
        <v/>
      </c>
      <c r="L96" s="15">
        <f>IF($A96="",0,IFERROR(INDEX('5'!$I$107:$I$206,MATCH($A96,'5'!$C$107:$C$206,0)),0))</f>
        <v>0</v>
      </c>
      <c r="M96" s="25" t="str">
        <f>IF($A96="","",D96+F96+H96+J96+L96)</f>
        <v/>
      </c>
      <c r="N96" s="26" t="str">
        <f>IF(OR($A96="",M96="",M96=0),"",RANK(M96,$M$4:$M$203,0))</f>
        <v/>
      </c>
      <c r="AA96">
        <f>Barneveld!C135</f>
        <v>0</v>
      </c>
      <c r="AB96">
        <f>IF(AA96="",0,IF(COUNTIF($AA$1:AA96,AA96)=1,1,0))</f>
        <v>0</v>
      </c>
      <c r="AC96" t="str">
        <f>IF(AB96=1,COUNTIF($AB$1:AB96,1),"")</f>
        <v/>
      </c>
    </row>
    <row r="97" spans="1:29" x14ac:dyDescent="0.25">
      <c r="A97" s="13" t="str">
        <f>IFERROR(INDEX($AA$1:$AA$400,MATCH(94,$AC$1:$AC$400,0)),"")</f>
        <v/>
      </c>
      <c r="B97" s="13" t="str">
        <f>IF($A97="","",IF(IFERROR(INDEX(Barneveld!$E$40:$E$139,MATCH($A97,Barneveld!$C$40:$C$139,0)),"")&lt;&gt;"",IFERROR(INDEX(Barneveld!$E$40:$E$139,MATCH($A97,Barneveld!$C$40:$C$139,0)),""),IF(IFERROR(INDEX(Scherpenzeel!$F$107:$F$206,MATCH($A97,Scherpenzeel!$C$107:$C$206,0)),"")&lt;&gt;"",IFERROR(INDEX(Scherpenzeel!$F$107:$F$206,MATCH($A97,Scherpenzeel!$C$107:$C$206,0)),""),IF(IFERROR(INDEX('4'!$F$107:$F$206,MATCH($A97,'4'!$C$107:$C$206,0)),"")&lt;&gt;"",IFERROR(INDEX('4'!$F$107:$F$206,MATCH($A97,'4'!$C$107:$C$206,0)),""),IFERROR(INDEX('5'!$F$107:$F$206,MATCH($A97,'5'!$C$107:$C$206,0)),"")))))</f>
        <v/>
      </c>
      <c r="C97" s="24" t="str">
        <f>IF($A97="","",IFERROR(INDEX(Barneveld!$A$40:$A$139,MATCH($A97,Barneveld!$C$40:$C$139,0)),""))</f>
        <v/>
      </c>
      <c r="D97" s="15">
        <f>IF($A97="",0,IFERROR(INDEX(Barneveld!$H$40:$H$139,MATCH($A97,Barneveld!$C$40:$C$139,0)),0))</f>
        <v>0</v>
      </c>
      <c r="E97" s="24" t="str">
        <f>""</f>
        <v/>
      </c>
      <c r="F97" s="15">
        <f>0</f>
        <v>0</v>
      </c>
      <c r="G97" s="24" t="str">
        <f>IF($A97="","",IFERROR(INDEX(Scherpenzeel!$A$107:$A$206,MATCH($A97,Scherpenzeel!$C$107:$C$206,0)),""))</f>
        <v/>
      </c>
      <c r="H97" s="15">
        <f>IF($A97="",0,IFERROR(INDEX(Scherpenzeel!$I$107:$I$206,MATCH($A97,Scherpenzeel!$C$107:$C$206,0)),0))</f>
        <v>0</v>
      </c>
      <c r="I97" s="24" t="str">
        <f>IF($A97="","",IFERROR(INDEX('4'!$A$107:$A$206,MATCH($A97,'4'!$C$107:$C$206,0)),""))</f>
        <v/>
      </c>
      <c r="J97" s="15">
        <f>IF($A97="",0,IFERROR(INDEX('4'!$I$107:$I$206,MATCH($A97,'4'!$C$107:$C$206,0)),0))</f>
        <v>0</v>
      </c>
      <c r="K97" s="24" t="str">
        <f>IF($A97="","",IFERROR(INDEX('5'!$A$107:$A$206,MATCH($A97,'5'!$C$107:$C$206,0)),""))</f>
        <v/>
      </c>
      <c r="L97" s="15">
        <f>IF($A97="",0,IFERROR(INDEX('5'!$I$107:$I$206,MATCH($A97,'5'!$C$107:$C$206,0)),0))</f>
        <v>0</v>
      </c>
      <c r="M97" s="25" t="str">
        <f>IF($A97="","",D97+F97+H97+J97+L97)</f>
        <v/>
      </c>
      <c r="N97" s="26" t="str">
        <f>IF(OR($A97="",M97="",M97=0),"",RANK(M97,$M$4:$M$203,0))</f>
        <v/>
      </c>
      <c r="AA97">
        <f>Barneveld!C136</f>
        <v>0</v>
      </c>
      <c r="AB97">
        <f>IF(AA97="",0,IF(COUNTIF($AA$1:AA97,AA97)=1,1,0))</f>
        <v>0</v>
      </c>
      <c r="AC97" t="str">
        <f>IF(AB97=1,COUNTIF($AB$1:AB97,1),"")</f>
        <v/>
      </c>
    </row>
    <row r="98" spans="1:29" x14ac:dyDescent="0.25">
      <c r="A98" s="13" t="str">
        <f>IFERROR(INDEX($AA$1:$AA$400,MATCH(95,$AC$1:$AC$400,0)),"")</f>
        <v/>
      </c>
      <c r="B98" s="13" t="str">
        <f>IF($A98="","",IF(IFERROR(INDEX(Barneveld!$E$40:$E$139,MATCH($A98,Barneveld!$C$40:$C$139,0)),"")&lt;&gt;"",IFERROR(INDEX(Barneveld!$E$40:$E$139,MATCH($A98,Barneveld!$C$40:$C$139,0)),""),IF(IFERROR(INDEX(Scherpenzeel!$F$107:$F$206,MATCH($A98,Scherpenzeel!$C$107:$C$206,0)),"")&lt;&gt;"",IFERROR(INDEX(Scherpenzeel!$F$107:$F$206,MATCH($A98,Scherpenzeel!$C$107:$C$206,0)),""),IF(IFERROR(INDEX('4'!$F$107:$F$206,MATCH($A98,'4'!$C$107:$C$206,0)),"")&lt;&gt;"",IFERROR(INDEX('4'!$F$107:$F$206,MATCH($A98,'4'!$C$107:$C$206,0)),""),IFERROR(INDEX('5'!$F$107:$F$206,MATCH($A98,'5'!$C$107:$C$206,0)),"")))))</f>
        <v/>
      </c>
      <c r="C98" s="24" t="str">
        <f>IF($A98="","",IFERROR(INDEX(Barneveld!$A$40:$A$139,MATCH($A98,Barneveld!$C$40:$C$139,0)),""))</f>
        <v/>
      </c>
      <c r="D98" s="15">
        <f>IF($A98="",0,IFERROR(INDEX(Barneveld!$H$40:$H$139,MATCH($A98,Barneveld!$C$40:$C$139,0)),0))</f>
        <v>0</v>
      </c>
      <c r="E98" s="24" t="str">
        <f>""</f>
        <v/>
      </c>
      <c r="F98" s="15">
        <f>0</f>
        <v>0</v>
      </c>
      <c r="G98" s="24" t="str">
        <f>IF($A98="","",IFERROR(INDEX(Scherpenzeel!$A$107:$A$206,MATCH($A98,Scherpenzeel!$C$107:$C$206,0)),""))</f>
        <v/>
      </c>
      <c r="H98" s="15">
        <f>IF($A98="",0,IFERROR(INDEX(Scherpenzeel!$I$107:$I$206,MATCH($A98,Scherpenzeel!$C$107:$C$206,0)),0))</f>
        <v>0</v>
      </c>
      <c r="I98" s="24" t="str">
        <f>IF($A98="","",IFERROR(INDEX('4'!$A$107:$A$206,MATCH($A98,'4'!$C$107:$C$206,0)),""))</f>
        <v/>
      </c>
      <c r="J98" s="15">
        <f>IF($A98="",0,IFERROR(INDEX('4'!$I$107:$I$206,MATCH($A98,'4'!$C$107:$C$206,0)),0))</f>
        <v>0</v>
      </c>
      <c r="K98" s="24" t="str">
        <f>IF($A98="","",IFERROR(INDEX('5'!$A$107:$A$206,MATCH($A98,'5'!$C$107:$C$206,0)),""))</f>
        <v/>
      </c>
      <c r="L98" s="15">
        <f>IF($A98="",0,IFERROR(INDEX('5'!$I$107:$I$206,MATCH($A98,'5'!$C$107:$C$206,0)),0))</f>
        <v>0</v>
      </c>
      <c r="M98" s="25" t="str">
        <f>IF($A98="","",D98+F98+H98+J98+L98)</f>
        <v/>
      </c>
      <c r="N98" s="26" t="str">
        <f>IF(OR($A98="",M98="",M98=0),"",RANK(M98,$M$4:$M$203,0))</f>
        <v/>
      </c>
      <c r="AA98">
        <f>Barneveld!C137</f>
        <v>0</v>
      </c>
      <c r="AB98">
        <f>IF(AA98="",0,IF(COUNTIF($AA$1:AA98,AA98)=1,1,0))</f>
        <v>0</v>
      </c>
      <c r="AC98" t="str">
        <f>IF(AB98=1,COUNTIF($AB$1:AB98,1),"")</f>
        <v/>
      </c>
    </row>
    <row r="99" spans="1:29" x14ac:dyDescent="0.25">
      <c r="A99" s="13" t="str">
        <f>IFERROR(INDEX($AA$1:$AA$400,MATCH(96,$AC$1:$AC$400,0)),"")</f>
        <v/>
      </c>
      <c r="B99" s="13" t="str">
        <f>IF($A99="","",IF(IFERROR(INDEX(Barneveld!$E$40:$E$139,MATCH($A99,Barneveld!$C$40:$C$139,0)),"")&lt;&gt;"",IFERROR(INDEX(Barneveld!$E$40:$E$139,MATCH($A99,Barneveld!$C$40:$C$139,0)),""),IF(IFERROR(INDEX(Scherpenzeel!$F$107:$F$206,MATCH($A99,Scherpenzeel!$C$107:$C$206,0)),"")&lt;&gt;"",IFERROR(INDEX(Scherpenzeel!$F$107:$F$206,MATCH($A99,Scherpenzeel!$C$107:$C$206,0)),""),IF(IFERROR(INDEX('4'!$F$107:$F$206,MATCH($A99,'4'!$C$107:$C$206,0)),"")&lt;&gt;"",IFERROR(INDEX('4'!$F$107:$F$206,MATCH($A99,'4'!$C$107:$C$206,0)),""),IFERROR(INDEX('5'!$F$107:$F$206,MATCH($A99,'5'!$C$107:$C$206,0)),"")))))</f>
        <v/>
      </c>
      <c r="C99" s="24" t="str">
        <f>IF($A99="","",IFERROR(INDEX(Barneveld!$A$40:$A$139,MATCH($A99,Barneveld!$C$40:$C$139,0)),""))</f>
        <v/>
      </c>
      <c r="D99" s="15">
        <f>IF($A99="",0,IFERROR(INDEX(Barneveld!$H$40:$H$139,MATCH($A99,Barneveld!$C$40:$C$139,0)),0))</f>
        <v>0</v>
      </c>
      <c r="E99" s="24" t="str">
        <f>""</f>
        <v/>
      </c>
      <c r="F99" s="15">
        <f>0</f>
        <v>0</v>
      </c>
      <c r="G99" s="24" t="str">
        <f>IF($A99="","",IFERROR(INDEX(Scherpenzeel!$A$107:$A$206,MATCH($A99,Scherpenzeel!$C$107:$C$206,0)),""))</f>
        <v/>
      </c>
      <c r="H99" s="15">
        <f>IF($A99="",0,IFERROR(INDEX(Scherpenzeel!$I$107:$I$206,MATCH($A99,Scherpenzeel!$C$107:$C$206,0)),0))</f>
        <v>0</v>
      </c>
      <c r="I99" s="24" t="str">
        <f>IF($A99="","",IFERROR(INDEX('4'!$A$107:$A$206,MATCH($A99,'4'!$C$107:$C$206,0)),""))</f>
        <v/>
      </c>
      <c r="J99" s="15">
        <f>IF($A99="",0,IFERROR(INDEX('4'!$I$107:$I$206,MATCH($A99,'4'!$C$107:$C$206,0)),0))</f>
        <v>0</v>
      </c>
      <c r="K99" s="24" t="str">
        <f>IF($A99="","",IFERROR(INDEX('5'!$A$107:$A$206,MATCH($A99,'5'!$C$107:$C$206,0)),""))</f>
        <v/>
      </c>
      <c r="L99" s="15">
        <f>IF($A99="",0,IFERROR(INDEX('5'!$I$107:$I$206,MATCH($A99,'5'!$C$107:$C$206,0)),0))</f>
        <v>0</v>
      </c>
      <c r="M99" s="25" t="str">
        <f>IF($A99="","",D99+F99+H99+J99+L99)</f>
        <v/>
      </c>
      <c r="N99" s="26" t="str">
        <f>IF(OR($A99="",M99="",M99=0),"",RANK(M99,$M$4:$M$203,0))</f>
        <v/>
      </c>
      <c r="AA99">
        <f>Barneveld!C138</f>
        <v>0</v>
      </c>
      <c r="AB99">
        <f>IF(AA99="",0,IF(COUNTIF($AA$1:AA99,AA99)=1,1,0))</f>
        <v>0</v>
      </c>
      <c r="AC99" t="str">
        <f>IF(AB99=1,COUNTIF($AB$1:AB99,1),"")</f>
        <v/>
      </c>
    </row>
    <row r="100" spans="1:29" x14ac:dyDescent="0.25">
      <c r="A100" s="13" t="str">
        <f>IFERROR(INDEX($AA$1:$AA$400,MATCH(97,$AC$1:$AC$400,0)),"")</f>
        <v/>
      </c>
      <c r="B100" s="13" t="str">
        <f>IF($A100="","",IF(IFERROR(INDEX(Barneveld!$E$40:$E$139,MATCH($A100,Barneveld!$C$40:$C$139,0)),"")&lt;&gt;"",IFERROR(INDEX(Barneveld!$E$40:$E$139,MATCH($A100,Barneveld!$C$40:$C$139,0)),""),IF(IFERROR(INDEX(Scherpenzeel!$F$107:$F$206,MATCH($A100,Scherpenzeel!$C$107:$C$206,0)),"")&lt;&gt;"",IFERROR(INDEX(Scherpenzeel!$F$107:$F$206,MATCH($A100,Scherpenzeel!$C$107:$C$206,0)),""),IF(IFERROR(INDEX('4'!$F$107:$F$206,MATCH($A100,'4'!$C$107:$C$206,0)),"")&lt;&gt;"",IFERROR(INDEX('4'!$F$107:$F$206,MATCH($A100,'4'!$C$107:$C$206,0)),""),IFERROR(INDEX('5'!$F$107:$F$206,MATCH($A100,'5'!$C$107:$C$206,0)),"")))))</f>
        <v/>
      </c>
      <c r="C100" s="24" t="str">
        <f>IF($A100="","",IFERROR(INDEX(Barneveld!$A$40:$A$139,MATCH($A100,Barneveld!$C$40:$C$139,0)),""))</f>
        <v/>
      </c>
      <c r="D100" s="15">
        <f>IF($A100="",0,IFERROR(INDEX(Barneveld!$H$40:$H$139,MATCH($A100,Barneveld!$C$40:$C$139,0)),0))</f>
        <v>0</v>
      </c>
      <c r="E100" s="24" t="str">
        <f>""</f>
        <v/>
      </c>
      <c r="F100" s="15">
        <f>0</f>
        <v>0</v>
      </c>
      <c r="G100" s="24" t="str">
        <f>IF($A100="","",IFERROR(INDEX(Scherpenzeel!$A$107:$A$206,MATCH($A100,Scherpenzeel!$C$107:$C$206,0)),""))</f>
        <v/>
      </c>
      <c r="H100" s="15">
        <f>IF($A100="",0,IFERROR(INDEX(Scherpenzeel!$I$107:$I$206,MATCH($A100,Scherpenzeel!$C$107:$C$206,0)),0))</f>
        <v>0</v>
      </c>
      <c r="I100" s="24" t="str">
        <f>IF($A100="","",IFERROR(INDEX('4'!$A$107:$A$206,MATCH($A100,'4'!$C$107:$C$206,0)),""))</f>
        <v/>
      </c>
      <c r="J100" s="15">
        <f>IF($A100="",0,IFERROR(INDEX('4'!$I$107:$I$206,MATCH($A100,'4'!$C$107:$C$206,0)),0))</f>
        <v>0</v>
      </c>
      <c r="K100" s="24" t="str">
        <f>IF($A100="","",IFERROR(INDEX('5'!$A$107:$A$206,MATCH($A100,'5'!$C$107:$C$206,0)),""))</f>
        <v/>
      </c>
      <c r="L100" s="15">
        <f>IF($A100="",0,IFERROR(INDEX('5'!$I$107:$I$206,MATCH($A100,'5'!$C$107:$C$206,0)),0))</f>
        <v>0</v>
      </c>
      <c r="M100" s="25" t="str">
        <f>IF($A100="","",D100+F100+H100+J100+L100)</f>
        <v/>
      </c>
      <c r="N100" s="26" t="str">
        <f>IF(OR($A100="",M100="",M100=0),"",RANK(M100,$M$4:$M$203,0))</f>
        <v/>
      </c>
      <c r="AA100">
        <f>Barneveld!C139</f>
        <v>0</v>
      </c>
      <c r="AB100">
        <f>IF(AA100="",0,IF(COUNTIF($AA$1:AA100,AA100)=1,1,0))</f>
        <v>0</v>
      </c>
      <c r="AC100" t="str">
        <f>IF(AB100=1,COUNTIF($AB$1:AB100,1),"")</f>
        <v/>
      </c>
    </row>
    <row r="101" spans="1:29" x14ac:dyDescent="0.25">
      <c r="A101" s="13" t="str">
        <f>IFERROR(INDEX($AA$1:$AA$400,MATCH(98,$AC$1:$AC$400,0)),"")</f>
        <v/>
      </c>
      <c r="B101" s="13" t="str">
        <f>IF($A101="","",IF(IFERROR(INDEX(Barneveld!$E$40:$E$139,MATCH($A101,Barneveld!$C$40:$C$139,0)),"")&lt;&gt;"",IFERROR(INDEX(Barneveld!$E$40:$E$139,MATCH($A101,Barneveld!$C$40:$C$139,0)),""),IF(IFERROR(INDEX(Scherpenzeel!$F$107:$F$206,MATCH($A101,Scherpenzeel!$C$107:$C$206,0)),"")&lt;&gt;"",IFERROR(INDEX(Scherpenzeel!$F$107:$F$206,MATCH($A101,Scherpenzeel!$C$107:$C$206,0)),""),IF(IFERROR(INDEX('4'!$F$107:$F$206,MATCH($A101,'4'!$C$107:$C$206,0)),"")&lt;&gt;"",IFERROR(INDEX('4'!$F$107:$F$206,MATCH($A101,'4'!$C$107:$C$206,0)),""),IFERROR(INDEX('5'!$F$107:$F$206,MATCH($A101,'5'!$C$107:$C$206,0)),"")))))</f>
        <v/>
      </c>
      <c r="C101" s="24" t="str">
        <f>IF($A101="","",IFERROR(INDEX(Barneveld!$A$40:$A$139,MATCH($A101,Barneveld!$C$40:$C$139,0)),""))</f>
        <v/>
      </c>
      <c r="D101" s="15">
        <f>IF($A101="",0,IFERROR(INDEX(Barneveld!$H$40:$H$139,MATCH($A101,Barneveld!$C$40:$C$139,0)),0))</f>
        <v>0</v>
      </c>
      <c r="E101" s="24" t="str">
        <f>""</f>
        <v/>
      </c>
      <c r="F101" s="15">
        <f>0</f>
        <v>0</v>
      </c>
      <c r="G101" s="24" t="str">
        <f>IF($A101="","",IFERROR(INDEX(Scherpenzeel!$A$107:$A$206,MATCH($A101,Scherpenzeel!$C$107:$C$206,0)),""))</f>
        <v/>
      </c>
      <c r="H101" s="15">
        <f>IF($A101="",0,IFERROR(INDEX(Scherpenzeel!$I$107:$I$206,MATCH($A101,Scherpenzeel!$C$107:$C$206,0)),0))</f>
        <v>0</v>
      </c>
      <c r="I101" s="24" t="str">
        <f>IF($A101="","",IFERROR(INDEX('4'!$A$107:$A$206,MATCH($A101,'4'!$C$107:$C$206,0)),""))</f>
        <v/>
      </c>
      <c r="J101" s="15">
        <f>IF($A101="",0,IFERROR(INDEX('4'!$I$107:$I$206,MATCH($A101,'4'!$C$107:$C$206,0)),0))</f>
        <v>0</v>
      </c>
      <c r="K101" s="24" t="str">
        <f>IF($A101="","",IFERROR(INDEX('5'!$A$107:$A$206,MATCH($A101,'5'!$C$107:$C$206,0)),""))</f>
        <v/>
      </c>
      <c r="L101" s="15">
        <f>IF($A101="",0,IFERROR(INDEX('5'!$I$107:$I$206,MATCH($A101,'5'!$C$107:$C$206,0)),0))</f>
        <v>0</v>
      </c>
      <c r="M101" s="25" t="str">
        <f>IF($A101="","",D101+F101+H101+J101+L101)</f>
        <v/>
      </c>
      <c r="N101" s="26" t="str">
        <f>IF(OR($A101="",M101="",M101=0),"",RANK(M101,$M$4:$M$203,0))</f>
        <v/>
      </c>
      <c r="AA101" t="str">
        <f>Scherpenzeel!C107</f>
        <v>Floris Pennings</v>
      </c>
      <c r="AB101">
        <f>IF(AA101="",0,IF(COUNTIF($AA$1:AA101,AA101)=1,1,0))</f>
        <v>1</v>
      </c>
      <c r="AC101">
        <f>IF(AB101=1,COUNTIF($AB$1:AB101,1),"")</f>
        <v>31</v>
      </c>
    </row>
    <row r="102" spans="1:29" x14ac:dyDescent="0.25">
      <c r="A102" s="13" t="str">
        <f>IFERROR(INDEX($AA$1:$AA$400,MATCH(99,$AC$1:$AC$400,0)),"")</f>
        <v/>
      </c>
      <c r="B102" s="13" t="str">
        <f>IF($A102="","",IF(IFERROR(INDEX(Barneveld!$E$40:$E$139,MATCH($A102,Barneveld!$C$40:$C$139,0)),"")&lt;&gt;"",IFERROR(INDEX(Barneveld!$E$40:$E$139,MATCH($A102,Barneveld!$C$40:$C$139,0)),""),IF(IFERROR(INDEX(Scherpenzeel!$F$107:$F$206,MATCH($A102,Scherpenzeel!$C$107:$C$206,0)),"")&lt;&gt;"",IFERROR(INDEX(Scherpenzeel!$F$107:$F$206,MATCH($A102,Scherpenzeel!$C$107:$C$206,0)),""),IF(IFERROR(INDEX('4'!$F$107:$F$206,MATCH($A102,'4'!$C$107:$C$206,0)),"")&lt;&gt;"",IFERROR(INDEX('4'!$F$107:$F$206,MATCH($A102,'4'!$C$107:$C$206,0)),""),IFERROR(INDEX('5'!$F$107:$F$206,MATCH($A102,'5'!$C$107:$C$206,0)),"")))))</f>
        <v/>
      </c>
      <c r="C102" s="24" t="str">
        <f>IF($A102="","",IFERROR(INDEX(Barneveld!$A$40:$A$139,MATCH($A102,Barneveld!$C$40:$C$139,0)),""))</f>
        <v/>
      </c>
      <c r="D102" s="15">
        <f>IF($A102="",0,IFERROR(INDEX(Barneveld!$H$40:$H$139,MATCH($A102,Barneveld!$C$40:$C$139,0)),0))</f>
        <v>0</v>
      </c>
      <c r="E102" s="24" t="str">
        <f>""</f>
        <v/>
      </c>
      <c r="F102" s="15">
        <f>0</f>
        <v>0</v>
      </c>
      <c r="G102" s="24" t="str">
        <f>IF($A102="","",IFERROR(INDEX(Scherpenzeel!$A$107:$A$206,MATCH($A102,Scherpenzeel!$C$107:$C$206,0)),""))</f>
        <v/>
      </c>
      <c r="H102" s="15">
        <f>IF($A102="",0,IFERROR(INDEX(Scherpenzeel!$I$107:$I$206,MATCH($A102,Scherpenzeel!$C$107:$C$206,0)),0))</f>
        <v>0</v>
      </c>
      <c r="I102" s="24" t="str">
        <f>IF($A102="","",IFERROR(INDEX('4'!$A$107:$A$206,MATCH($A102,'4'!$C$107:$C$206,0)),""))</f>
        <v/>
      </c>
      <c r="J102" s="15">
        <f>IF($A102="",0,IFERROR(INDEX('4'!$I$107:$I$206,MATCH($A102,'4'!$C$107:$C$206,0)),0))</f>
        <v>0</v>
      </c>
      <c r="K102" s="24" t="str">
        <f>IF($A102="","",IFERROR(INDEX('5'!$A$107:$A$206,MATCH($A102,'5'!$C$107:$C$206,0)),""))</f>
        <v/>
      </c>
      <c r="L102" s="15">
        <f>IF($A102="",0,IFERROR(INDEX('5'!$I$107:$I$206,MATCH($A102,'5'!$C$107:$C$206,0)),0))</f>
        <v>0</v>
      </c>
      <c r="M102" s="25" t="str">
        <f>IF($A102="","",D102+F102+H102+J102+L102)</f>
        <v/>
      </c>
      <c r="N102" s="26" t="str">
        <f>IF(OR($A102="",M102="",M102=0),"",RANK(M102,$M$4:$M$203,0))</f>
        <v/>
      </c>
      <c r="AA102" t="str">
        <f>Scherpenzeel!C108</f>
        <v>Douwe Beukers</v>
      </c>
      <c r="AB102">
        <f>IF(AA102="",0,IF(COUNTIF($AA$1:AA102,AA102)=1,1,0))</f>
        <v>1</v>
      </c>
      <c r="AC102">
        <f>IF(AB102=1,COUNTIF($AB$1:AB102,1),"")</f>
        <v>32</v>
      </c>
    </row>
    <row r="103" spans="1:29" x14ac:dyDescent="0.25">
      <c r="A103" s="13" t="str">
        <f>IFERROR(INDEX($AA$1:$AA$400,MATCH(100,$AC$1:$AC$400,0)),"")</f>
        <v/>
      </c>
      <c r="B103" s="13" t="str">
        <f>IF($A103="","",IF(IFERROR(INDEX(Barneveld!$E$40:$E$139,MATCH($A103,Barneveld!$C$40:$C$139,0)),"")&lt;&gt;"",IFERROR(INDEX(Barneveld!$E$40:$E$139,MATCH($A103,Barneveld!$C$40:$C$139,0)),""),IF(IFERROR(INDEX(Scherpenzeel!$F$107:$F$206,MATCH($A103,Scherpenzeel!$C$107:$C$206,0)),"")&lt;&gt;"",IFERROR(INDEX(Scherpenzeel!$F$107:$F$206,MATCH($A103,Scherpenzeel!$C$107:$C$206,0)),""),IF(IFERROR(INDEX('4'!$F$107:$F$206,MATCH($A103,'4'!$C$107:$C$206,0)),"")&lt;&gt;"",IFERROR(INDEX('4'!$F$107:$F$206,MATCH($A103,'4'!$C$107:$C$206,0)),""),IFERROR(INDEX('5'!$F$107:$F$206,MATCH($A103,'5'!$C$107:$C$206,0)),"")))))</f>
        <v/>
      </c>
      <c r="C103" s="24" t="str">
        <f>IF($A103="","",IFERROR(INDEX(Barneveld!$A$40:$A$139,MATCH($A103,Barneveld!$C$40:$C$139,0)),""))</f>
        <v/>
      </c>
      <c r="D103" s="15">
        <f>IF($A103="",0,IFERROR(INDEX(Barneveld!$H$40:$H$139,MATCH($A103,Barneveld!$C$40:$C$139,0)),0))</f>
        <v>0</v>
      </c>
      <c r="E103" s="24" t="str">
        <f>""</f>
        <v/>
      </c>
      <c r="F103" s="15">
        <f>0</f>
        <v>0</v>
      </c>
      <c r="G103" s="24" t="str">
        <f>IF($A103="","",IFERROR(INDEX(Scherpenzeel!$A$107:$A$206,MATCH($A103,Scherpenzeel!$C$107:$C$206,0)),""))</f>
        <v/>
      </c>
      <c r="H103" s="15">
        <f>IF($A103="",0,IFERROR(INDEX(Scherpenzeel!$I$107:$I$206,MATCH($A103,Scherpenzeel!$C$107:$C$206,0)),0))</f>
        <v>0</v>
      </c>
      <c r="I103" s="24" t="str">
        <f>IF($A103="","",IFERROR(INDEX('4'!$A$107:$A$206,MATCH($A103,'4'!$C$107:$C$206,0)),""))</f>
        <v/>
      </c>
      <c r="J103" s="15">
        <f>IF($A103="",0,IFERROR(INDEX('4'!$I$107:$I$206,MATCH($A103,'4'!$C$107:$C$206,0)),0))</f>
        <v>0</v>
      </c>
      <c r="K103" s="24" t="str">
        <f>IF($A103="","",IFERROR(INDEX('5'!$A$107:$A$206,MATCH($A103,'5'!$C$107:$C$206,0)),""))</f>
        <v/>
      </c>
      <c r="L103" s="15">
        <f>IF($A103="",0,IFERROR(INDEX('5'!$I$107:$I$206,MATCH($A103,'5'!$C$107:$C$206,0)),0))</f>
        <v>0</v>
      </c>
      <c r="M103" s="25" t="str">
        <f>IF($A103="","",D103+F103+H103+J103+L103)</f>
        <v/>
      </c>
      <c r="N103" s="26" t="str">
        <f>IF(OR($A103="",M103="",M103=0),"",RANK(M103,$M$4:$M$203,0))</f>
        <v/>
      </c>
      <c r="AA103" t="str">
        <f>Scherpenzeel!C109</f>
        <v>Stephan Schipper</v>
      </c>
      <c r="AB103">
        <f>IF(AA103="",0,IF(COUNTIF($AA$1:AA103,AA103)=1,1,0))</f>
        <v>0</v>
      </c>
      <c r="AC103" t="str">
        <f>IF(AB103=1,COUNTIF($AB$1:AB103,1),"")</f>
        <v/>
      </c>
    </row>
    <row r="104" spans="1:29" x14ac:dyDescent="0.25">
      <c r="A104" s="13" t="str">
        <f>IFERROR(INDEX($AA$1:$AA$400,MATCH(101,$AC$1:$AC$400,0)),"")</f>
        <v/>
      </c>
      <c r="B104" s="13" t="str">
        <f>IF($A104="","",IF(IFERROR(INDEX(Barneveld!$E$40:$E$139,MATCH($A104,Barneveld!$C$40:$C$139,0)),"")&lt;&gt;"",IFERROR(INDEX(Barneveld!$E$40:$E$139,MATCH($A104,Barneveld!$C$40:$C$139,0)),""),IF(IFERROR(INDEX(Scherpenzeel!$F$107:$F$206,MATCH($A104,Scherpenzeel!$C$107:$C$206,0)),"")&lt;&gt;"",IFERROR(INDEX(Scherpenzeel!$F$107:$F$206,MATCH($A104,Scherpenzeel!$C$107:$C$206,0)),""),IF(IFERROR(INDEX('4'!$F$107:$F$206,MATCH($A104,'4'!$C$107:$C$206,0)),"")&lt;&gt;"",IFERROR(INDEX('4'!$F$107:$F$206,MATCH($A104,'4'!$C$107:$C$206,0)),""),IFERROR(INDEX('5'!$F$107:$F$206,MATCH($A104,'5'!$C$107:$C$206,0)),"")))))</f>
        <v/>
      </c>
      <c r="C104" s="24" t="str">
        <f>IF($A104="","",IFERROR(INDEX(Barneveld!$A$40:$A$139,MATCH($A104,Barneveld!$C$40:$C$139,0)),""))</f>
        <v/>
      </c>
      <c r="D104" s="15">
        <f>IF($A104="",0,IFERROR(INDEX(Barneveld!$H$40:$H$139,MATCH($A104,Barneveld!$C$40:$C$139,0)),0))</f>
        <v>0</v>
      </c>
      <c r="E104" s="24" t="str">
        <f>""</f>
        <v/>
      </c>
      <c r="F104" s="15">
        <f>0</f>
        <v>0</v>
      </c>
      <c r="G104" s="24" t="str">
        <f>IF($A104="","",IFERROR(INDEX(Scherpenzeel!$A$107:$A$206,MATCH($A104,Scherpenzeel!$C$107:$C$206,0)),""))</f>
        <v/>
      </c>
      <c r="H104" s="15">
        <f>IF($A104="",0,IFERROR(INDEX(Scherpenzeel!$I$107:$I$206,MATCH($A104,Scherpenzeel!$C$107:$C$206,0)),0))</f>
        <v>0</v>
      </c>
      <c r="I104" s="24" t="str">
        <f>IF($A104="","",IFERROR(INDEX('4'!$A$107:$A$206,MATCH($A104,'4'!$C$107:$C$206,0)),""))</f>
        <v/>
      </c>
      <c r="J104" s="15">
        <f>IF($A104="",0,IFERROR(INDEX('4'!$I$107:$I$206,MATCH($A104,'4'!$C$107:$C$206,0)),0))</f>
        <v>0</v>
      </c>
      <c r="K104" s="24" t="str">
        <f>IF($A104="","",IFERROR(INDEX('5'!$A$107:$A$206,MATCH($A104,'5'!$C$107:$C$206,0)),""))</f>
        <v/>
      </c>
      <c r="L104" s="15">
        <f>IF($A104="",0,IFERROR(INDEX('5'!$I$107:$I$206,MATCH($A104,'5'!$C$107:$C$206,0)),0))</f>
        <v>0</v>
      </c>
      <c r="M104" s="25" t="str">
        <f>IF($A104="","",D104+F104+H104+J104+L104)</f>
        <v/>
      </c>
      <c r="N104" s="26" t="str">
        <f>IF(OR($A104="",M104="",M104=0),"",RANK(M104,$M$4:$M$203,0))</f>
        <v/>
      </c>
      <c r="AA104" t="str">
        <f>Scherpenzeel!C110</f>
        <v>Spiek Oord</v>
      </c>
      <c r="AB104">
        <f>IF(AA104="",0,IF(COUNTIF($AA$1:AA104,AA104)=1,1,0))</f>
        <v>1</v>
      </c>
      <c r="AC104">
        <f>IF(AB104=1,COUNTIF($AB$1:AB104,1),"")</f>
        <v>33</v>
      </c>
    </row>
    <row r="105" spans="1:29" x14ac:dyDescent="0.25">
      <c r="A105" s="13" t="str">
        <f>IFERROR(INDEX($AA$1:$AA$400,MATCH(102,$AC$1:$AC$400,0)),"")</f>
        <v/>
      </c>
      <c r="B105" s="13" t="str">
        <f>IF($A105="","",IF(IFERROR(INDEX(Barneveld!$E$40:$E$139,MATCH($A105,Barneveld!$C$40:$C$139,0)),"")&lt;&gt;"",IFERROR(INDEX(Barneveld!$E$40:$E$139,MATCH($A105,Barneveld!$C$40:$C$139,0)),""),IF(IFERROR(INDEX(Scherpenzeel!$F$107:$F$206,MATCH($A105,Scherpenzeel!$C$107:$C$206,0)),"")&lt;&gt;"",IFERROR(INDEX(Scherpenzeel!$F$107:$F$206,MATCH($A105,Scherpenzeel!$C$107:$C$206,0)),""),IF(IFERROR(INDEX('4'!$F$107:$F$206,MATCH($A105,'4'!$C$107:$C$206,0)),"")&lt;&gt;"",IFERROR(INDEX('4'!$F$107:$F$206,MATCH($A105,'4'!$C$107:$C$206,0)),""),IFERROR(INDEX('5'!$F$107:$F$206,MATCH($A105,'5'!$C$107:$C$206,0)),"")))))</f>
        <v/>
      </c>
      <c r="C105" s="24" t="str">
        <f>IF($A105="","",IFERROR(INDEX(Barneveld!$A$40:$A$139,MATCH($A105,Barneveld!$C$40:$C$139,0)),""))</f>
        <v/>
      </c>
      <c r="D105" s="15">
        <f>IF($A105="",0,IFERROR(INDEX(Barneveld!$H$40:$H$139,MATCH($A105,Barneveld!$C$40:$C$139,0)),0))</f>
        <v>0</v>
      </c>
      <c r="E105" s="24" t="str">
        <f>""</f>
        <v/>
      </c>
      <c r="F105" s="15">
        <f>0</f>
        <v>0</v>
      </c>
      <c r="G105" s="24" t="str">
        <f>IF($A105="","",IFERROR(INDEX(Scherpenzeel!$A$107:$A$206,MATCH($A105,Scherpenzeel!$C$107:$C$206,0)),""))</f>
        <v/>
      </c>
      <c r="H105" s="15">
        <f>IF($A105="",0,IFERROR(INDEX(Scherpenzeel!$I$107:$I$206,MATCH($A105,Scherpenzeel!$C$107:$C$206,0)),0))</f>
        <v>0</v>
      </c>
      <c r="I105" s="24" t="str">
        <f>IF($A105="","",IFERROR(INDEX('4'!$A$107:$A$206,MATCH($A105,'4'!$C$107:$C$206,0)),""))</f>
        <v/>
      </c>
      <c r="J105" s="15">
        <f>IF($A105="",0,IFERROR(INDEX('4'!$I$107:$I$206,MATCH($A105,'4'!$C$107:$C$206,0)),0))</f>
        <v>0</v>
      </c>
      <c r="K105" s="24" t="str">
        <f>IF($A105="","",IFERROR(INDEX('5'!$A$107:$A$206,MATCH($A105,'5'!$C$107:$C$206,0)),""))</f>
        <v/>
      </c>
      <c r="L105" s="15">
        <f>IF($A105="",0,IFERROR(INDEX('5'!$I$107:$I$206,MATCH($A105,'5'!$C$107:$C$206,0)),0))</f>
        <v>0</v>
      </c>
      <c r="M105" s="25" t="str">
        <f>IF($A105="","",D105+F105+H105+J105+L105)</f>
        <v/>
      </c>
      <c r="N105" s="26" t="str">
        <f>IF(OR($A105="",M105="",M105=0),"",RANK(M105,$M$4:$M$203,0))</f>
        <v/>
      </c>
      <c r="AA105" t="str">
        <f>Scherpenzeel!C111</f>
        <v>Roy Barten</v>
      </c>
      <c r="AB105">
        <f>IF(AA105="",0,IF(COUNTIF($AA$1:AA105,AA105)=1,1,0))</f>
        <v>0</v>
      </c>
      <c r="AC105" t="str">
        <f>IF(AB105=1,COUNTIF($AB$1:AB105,1),"")</f>
        <v/>
      </c>
    </row>
    <row r="106" spans="1:29" x14ac:dyDescent="0.25">
      <c r="A106" s="13" t="str">
        <f>IFERROR(INDEX($AA$1:$AA$400,MATCH(103,$AC$1:$AC$400,0)),"")</f>
        <v/>
      </c>
      <c r="B106" s="13" t="str">
        <f>IF($A106="","",IF(IFERROR(INDEX(Barneveld!$E$40:$E$139,MATCH($A106,Barneveld!$C$40:$C$139,0)),"")&lt;&gt;"",IFERROR(INDEX(Barneveld!$E$40:$E$139,MATCH($A106,Barneveld!$C$40:$C$139,0)),""),IF(IFERROR(INDEX(Scherpenzeel!$F$107:$F$206,MATCH($A106,Scherpenzeel!$C$107:$C$206,0)),"")&lt;&gt;"",IFERROR(INDEX(Scherpenzeel!$F$107:$F$206,MATCH($A106,Scherpenzeel!$C$107:$C$206,0)),""),IF(IFERROR(INDEX('4'!$F$107:$F$206,MATCH($A106,'4'!$C$107:$C$206,0)),"")&lt;&gt;"",IFERROR(INDEX('4'!$F$107:$F$206,MATCH($A106,'4'!$C$107:$C$206,0)),""),IFERROR(INDEX('5'!$F$107:$F$206,MATCH($A106,'5'!$C$107:$C$206,0)),"")))))</f>
        <v/>
      </c>
      <c r="C106" s="24" t="str">
        <f>IF($A106="","",IFERROR(INDEX(Barneveld!$A$40:$A$139,MATCH($A106,Barneveld!$C$40:$C$139,0)),""))</f>
        <v/>
      </c>
      <c r="D106" s="15">
        <f>IF($A106="",0,IFERROR(INDEX(Barneveld!$H$40:$H$139,MATCH($A106,Barneveld!$C$40:$C$139,0)),0))</f>
        <v>0</v>
      </c>
      <c r="E106" s="24" t="str">
        <f>""</f>
        <v/>
      </c>
      <c r="F106" s="15">
        <f>0</f>
        <v>0</v>
      </c>
      <c r="G106" s="24" t="str">
        <f>IF($A106="","",IFERROR(INDEX(Scherpenzeel!$A$107:$A$206,MATCH($A106,Scherpenzeel!$C$107:$C$206,0)),""))</f>
        <v/>
      </c>
      <c r="H106" s="15">
        <f>IF($A106="",0,IFERROR(INDEX(Scherpenzeel!$I$107:$I$206,MATCH($A106,Scherpenzeel!$C$107:$C$206,0)),0))</f>
        <v>0</v>
      </c>
      <c r="I106" s="24" t="str">
        <f>IF($A106="","",IFERROR(INDEX('4'!$A$107:$A$206,MATCH($A106,'4'!$C$107:$C$206,0)),""))</f>
        <v/>
      </c>
      <c r="J106" s="15">
        <f>IF($A106="",0,IFERROR(INDEX('4'!$I$107:$I$206,MATCH($A106,'4'!$C$107:$C$206,0)),0))</f>
        <v>0</v>
      </c>
      <c r="K106" s="24" t="str">
        <f>IF($A106="","",IFERROR(INDEX('5'!$A$107:$A$206,MATCH($A106,'5'!$C$107:$C$206,0)),""))</f>
        <v/>
      </c>
      <c r="L106" s="15">
        <f>IF($A106="",0,IFERROR(INDEX('5'!$I$107:$I$206,MATCH($A106,'5'!$C$107:$C$206,0)),0))</f>
        <v>0</v>
      </c>
      <c r="M106" s="25" t="str">
        <f>IF($A106="","",D106+F106+H106+J106+L106)</f>
        <v/>
      </c>
      <c r="N106" s="26" t="str">
        <f>IF(OR($A106="",M106="",M106=0),"",RANK(M106,$M$4:$M$203,0))</f>
        <v/>
      </c>
      <c r="AA106" t="str">
        <f>Scherpenzeel!C112</f>
        <v>Jacob Meijer</v>
      </c>
      <c r="AB106">
        <f>IF(AA106="",0,IF(COUNTIF($AA$1:AA106,AA106)=1,1,0))</f>
        <v>1</v>
      </c>
      <c r="AC106">
        <f>IF(AB106=1,COUNTIF($AB$1:AB106,1),"")</f>
        <v>34</v>
      </c>
    </row>
    <row r="107" spans="1:29" x14ac:dyDescent="0.25">
      <c r="A107" s="13" t="str">
        <f>IFERROR(INDEX($AA$1:$AA$400,MATCH(104,$AC$1:$AC$400,0)),"")</f>
        <v/>
      </c>
      <c r="B107" s="13" t="str">
        <f>IF($A107="","",IF(IFERROR(INDEX(Barneveld!$E$40:$E$139,MATCH($A107,Barneveld!$C$40:$C$139,0)),"")&lt;&gt;"",IFERROR(INDEX(Barneveld!$E$40:$E$139,MATCH($A107,Barneveld!$C$40:$C$139,0)),""),IF(IFERROR(INDEX(Scherpenzeel!$F$107:$F$206,MATCH($A107,Scherpenzeel!$C$107:$C$206,0)),"")&lt;&gt;"",IFERROR(INDEX(Scherpenzeel!$F$107:$F$206,MATCH($A107,Scherpenzeel!$C$107:$C$206,0)),""),IF(IFERROR(INDEX('4'!$F$107:$F$206,MATCH($A107,'4'!$C$107:$C$206,0)),"")&lt;&gt;"",IFERROR(INDEX('4'!$F$107:$F$206,MATCH($A107,'4'!$C$107:$C$206,0)),""),IFERROR(INDEX('5'!$F$107:$F$206,MATCH($A107,'5'!$C$107:$C$206,0)),"")))))</f>
        <v/>
      </c>
      <c r="C107" s="24" t="str">
        <f>IF($A107="","",IFERROR(INDEX(Barneveld!$A$40:$A$139,MATCH($A107,Barneveld!$C$40:$C$139,0)),""))</f>
        <v/>
      </c>
      <c r="D107" s="15">
        <f>IF($A107="",0,IFERROR(INDEX(Barneveld!$H$40:$H$139,MATCH($A107,Barneveld!$C$40:$C$139,0)),0))</f>
        <v>0</v>
      </c>
      <c r="E107" s="24" t="str">
        <f>""</f>
        <v/>
      </c>
      <c r="F107" s="15">
        <f>0</f>
        <v>0</v>
      </c>
      <c r="G107" s="24" t="str">
        <f>IF($A107="","",IFERROR(INDEX(Scherpenzeel!$A$107:$A$206,MATCH($A107,Scherpenzeel!$C$107:$C$206,0)),""))</f>
        <v/>
      </c>
      <c r="H107" s="15">
        <f>IF($A107="",0,IFERROR(INDEX(Scherpenzeel!$I$107:$I$206,MATCH($A107,Scherpenzeel!$C$107:$C$206,0)),0))</f>
        <v>0</v>
      </c>
      <c r="I107" s="24" t="str">
        <f>IF($A107="","",IFERROR(INDEX('4'!$A$107:$A$206,MATCH($A107,'4'!$C$107:$C$206,0)),""))</f>
        <v/>
      </c>
      <c r="J107" s="15">
        <f>IF($A107="",0,IFERROR(INDEX('4'!$I$107:$I$206,MATCH($A107,'4'!$C$107:$C$206,0)),0))</f>
        <v>0</v>
      </c>
      <c r="K107" s="24" t="str">
        <f>IF($A107="","",IFERROR(INDEX('5'!$A$107:$A$206,MATCH($A107,'5'!$C$107:$C$206,0)),""))</f>
        <v/>
      </c>
      <c r="L107" s="15">
        <f>IF($A107="",0,IFERROR(INDEX('5'!$I$107:$I$206,MATCH($A107,'5'!$C$107:$C$206,0)),0))</f>
        <v>0</v>
      </c>
      <c r="M107" s="25" t="str">
        <f>IF($A107="","",D107+F107+H107+J107+L107)</f>
        <v/>
      </c>
      <c r="N107" s="26" t="str">
        <f>IF(OR($A107="",M107="",M107=0),"",RANK(M107,$M$4:$M$203,0))</f>
        <v/>
      </c>
      <c r="AA107" t="str">
        <f>Scherpenzeel!C113</f>
        <v>Eibert van 't Hof</v>
      </c>
      <c r="AB107">
        <f>IF(AA107="",0,IF(COUNTIF($AA$1:AA107,AA107)=1,1,0))</f>
        <v>1</v>
      </c>
      <c r="AC107">
        <f>IF(AB107=1,COUNTIF($AB$1:AB107,1),"")</f>
        <v>35</v>
      </c>
    </row>
    <row r="108" spans="1:29" x14ac:dyDescent="0.25">
      <c r="A108" s="13" t="str">
        <f>IFERROR(INDEX($AA$1:$AA$400,MATCH(105,$AC$1:$AC$400,0)),"")</f>
        <v/>
      </c>
      <c r="B108" s="13" t="str">
        <f>IF($A108="","",IF(IFERROR(INDEX(Barneveld!$E$40:$E$139,MATCH($A108,Barneveld!$C$40:$C$139,0)),"")&lt;&gt;"",IFERROR(INDEX(Barneveld!$E$40:$E$139,MATCH($A108,Barneveld!$C$40:$C$139,0)),""),IF(IFERROR(INDEX(Scherpenzeel!$F$107:$F$206,MATCH($A108,Scherpenzeel!$C$107:$C$206,0)),"")&lt;&gt;"",IFERROR(INDEX(Scherpenzeel!$F$107:$F$206,MATCH($A108,Scherpenzeel!$C$107:$C$206,0)),""),IF(IFERROR(INDEX('4'!$F$107:$F$206,MATCH($A108,'4'!$C$107:$C$206,0)),"")&lt;&gt;"",IFERROR(INDEX('4'!$F$107:$F$206,MATCH($A108,'4'!$C$107:$C$206,0)),""),IFERROR(INDEX('5'!$F$107:$F$206,MATCH($A108,'5'!$C$107:$C$206,0)),"")))))</f>
        <v/>
      </c>
      <c r="C108" s="24" t="str">
        <f>IF($A108="","",IFERROR(INDEX(Barneveld!$A$40:$A$139,MATCH($A108,Barneveld!$C$40:$C$139,0)),""))</f>
        <v/>
      </c>
      <c r="D108" s="15">
        <f>IF($A108="",0,IFERROR(INDEX(Barneveld!$H$40:$H$139,MATCH($A108,Barneveld!$C$40:$C$139,0)),0))</f>
        <v>0</v>
      </c>
      <c r="E108" s="24" t="str">
        <f>""</f>
        <v/>
      </c>
      <c r="F108" s="15">
        <f>0</f>
        <v>0</v>
      </c>
      <c r="G108" s="24" t="str">
        <f>IF($A108="","",IFERROR(INDEX(Scherpenzeel!$A$107:$A$206,MATCH($A108,Scherpenzeel!$C$107:$C$206,0)),""))</f>
        <v/>
      </c>
      <c r="H108" s="15">
        <f>IF($A108="",0,IFERROR(INDEX(Scherpenzeel!$I$107:$I$206,MATCH($A108,Scherpenzeel!$C$107:$C$206,0)),0))</f>
        <v>0</v>
      </c>
      <c r="I108" s="24" t="str">
        <f>IF($A108="","",IFERROR(INDEX('4'!$A$107:$A$206,MATCH($A108,'4'!$C$107:$C$206,0)),""))</f>
        <v/>
      </c>
      <c r="J108" s="15">
        <f>IF($A108="",0,IFERROR(INDEX('4'!$I$107:$I$206,MATCH($A108,'4'!$C$107:$C$206,0)),0))</f>
        <v>0</v>
      </c>
      <c r="K108" s="24" t="str">
        <f>IF($A108="","",IFERROR(INDEX('5'!$A$107:$A$206,MATCH($A108,'5'!$C$107:$C$206,0)),""))</f>
        <v/>
      </c>
      <c r="L108" s="15">
        <f>IF($A108="",0,IFERROR(INDEX('5'!$I$107:$I$206,MATCH($A108,'5'!$C$107:$C$206,0)),0))</f>
        <v>0</v>
      </c>
      <c r="M108" s="25" t="str">
        <f>IF($A108="","",D108+F108+H108+J108+L108)</f>
        <v/>
      </c>
      <c r="N108" s="26" t="str">
        <f>IF(OR($A108="",M108="",M108=0),"",RANK(M108,$M$4:$M$203,0))</f>
        <v/>
      </c>
      <c r="AA108" t="str">
        <f>Scherpenzeel!C114</f>
        <v>Timon Veerman</v>
      </c>
      <c r="AB108">
        <f>IF(AA108="",0,IF(COUNTIF($AA$1:AA108,AA108)=1,1,0))</f>
        <v>1</v>
      </c>
      <c r="AC108">
        <f>IF(AB108=1,COUNTIF($AB$1:AB108,1),"")</f>
        <v>36</v>
      </c>
    </row>
    <row r="109" spans="1:29" x14ac:dyDescent="0.25">
      <c r="A109" s="13" t="str">
        <f>IFERROR(INDEX($AA$1:$AA$400,MATCH(106,$AC$1:$AC$400,0)),"")</f>
        <v/>
      </c>
      <c r="B109" s="13" t="str">
        <f>IF($A109="","",IF(IFERROR(INDEX(Barneveld!$E$40:$E$139,MATCH($A109,Barneveld!$C$40:$C$139,0)),"")&lt;&gt;"",IFERROR(INDEX(Barneveld!$E$40:$E$139,MATCH($A109,Barneveld!$C$40:$C$139,0)),""),IF(IFERROR(INDEX(Scherpenzeel!$F$107:$F$206,MATCH($A109,Scherpenzeel!$C$107:$C$206,0)),"")&lt;&gt;"",IFERROR(INDEX(Scherpenzeel!$F$107:$F$206,MATCH($A109,Scherpenzeel!$C$107:$C$206,0)),""),IF(IFERROR(INDEX('4'!$F$107:$F$206,MATCH($A109,'4'!$C$107:$C$206,0)),"")&lt;&gt;"",IFERROR(INDEX('4'!$F$107:$F$206,MATCH($A109,'4'!$C$107:$C$206,0)),""),IFERROR(INDEX('5'!$F$107:$F$206,MATCH($A109,'5'!$C$107:$C$206,0)),"")))))</f>
        <v/>
      </c>
      <c r="C109" s="24" t="str">
        <f>IF($A109="","",IFERROR(INDEX(Barneveld!$A$40:$A$139,MATCH($A109,Barneveld!$C$40:$C$139,0)),""))</f>
        <v/>
      </c>
      <c r="D109" s="15">
        <f>IF($A109="",0,IFERROR(INDEX(Barneveld!$H$40:$H$139,MATCH($A109,Barneveld!$C$40:$C$139,0)),0))</f>
        <v>0</v>
      </c>
      <c r="E109" s="24" t="str">
        <f>""</f>
        <v/>
      </c>
      <c r="F109" s="15">
        <f>0</f>
        <v>0</v>
      </c>
      <c r="G109" s="24" t="str">
        <f>IF($A109="","",IFERROR(INDEX(Scherpenzeel!$A$107:$A$206,MATCH($A109,Scherpenzeel!$C$107:$C$206,0)),""))</f>
        <v/>
      </c>
      <c r="H109" s="15">
        <f>IF($A109="",0,IFERROR(INDEX(Scherpenzeel!$I$107:$I$206,MATCH($A109,Scherpenzeel!$C$107:$C$206,0)),0))</f>
        <v>0</v>
      </c>
      <c r="I109" s="24" t="str">
        <f>IF($A109="","",IFERROR(INDEX('4'!$A$107:$A$206,MATCH($A109,'4'!$C$107:$C$206,0)),""))</f>
        <v/>
      </c>
      <c r="J109" s="15">
        <f>IF($A109="",0,IFERROR(INDEX('4'!$I$107:$I$206,MATCH($A109,'4'!$C$107:$C$206,0)),0))</f>
        <v>0</v>
      </c>
      <c r="K109" s="24" t="str">
        <f>IF($A109="","",IFERROR(INDEX('5'!$A$107:$A$206,MATCH($A109,'5'!$C$107:$C$206,0)),""))</f>
        <v/>
      </c>
      <c r="L109" s="15">
        <f>IF($A109="",0,IFERROR(INDEX('5'!$I$107:$I$206,MATCH($A109,'5'!$C$107:$C$206,0)),0))</f>
        <v>0</v>
      </c>
      <c r="M109" s="25" t="str">
        <f>IF($A109="","",D109+F109+H109+J109+L109)</f>
        <v/>
      </c>
      <c r="N109" s="26" t="str">
        <f>IF(OR($A109="",M109="",M109=0),"",RANK(M109,$M$4:$M$203,0))</f>
        <v/>
      </c>
      <c r="AA109" t="str">
        <f>Scherpenzeel!C115</f>
        <v>Dennis Gerressen</v>
      </c>
      <c r="AB109">
        <f>IF(AA109="",0,IF(COUNTIF($AA$1:AA109,AA109)=1,1,0))</f>
        <v>1</v>
      </c>
      <c r="AC109">
        <f>IF(AB109=1,COUNTIF($AB$1:AB109,1),"")</f>
        <v>37</v>
      </c>
    </row>
    <row r="110" spans="1:29" x14ac:dyDescent="0.25">
      <c r="A110" s="13" t="str">
        <f>IFERROR(INDEX($AA$1:$AA$400,MATCH(107,$AC$1:$AC$400,0)),"")</f>
        <v/>
      </c>
      <c r="B110" s="13" t="str">
        <f>IF($A110="","",IF(IFERROR(INDEX(Barneveld!$E$40:$E$139,MATCH($A110,Barneveld!$C$40:$C$139,0)),"")&lt;&gt;"",IFERROR(INDEX(Barneveld!$E$40:$E$139,MATCH($A110,Barneveld!$C$40:$C$139,0)),""),IF(IFERROR(INDEX(Scherpenzeel!$F$107:$F$206,MATCH($A110,Scherpenzeel!$C$107:$C$206,0)),"")&lt;&gt;"",IFERROR(INDEX(Scherpenzeel!$F$107:$F$206,MATCH($A110,Scherpenzeel!$C$107:$C$206,0)),""),IF(IFERROR(INDEX('4'!$F$107:$F$206,MATCH($A110,'4'!$C$107:$C$206,0)),"")&lt;&gt;"",IFERROR(INDEX('4'!$F$107:$F$206,MATCH($A110,'4'!$C$107:$C$206,0)),""),IFERROR(INDEX('5'!$F$107:$F$206,MATCH($A110,'5'!$C$107:$C$206,0)),"")))))</f>
        <v/>
      </c>
      <c r="C110" s="24" t="str">
        <f>IF($A110="","",IFERROR(INDEX(Barneveld!$A$40:$A$139,MATCH($A110,Barneveld!$C$40:$C$139,0)),""))</f>
        <v/>
      </c>
      <c r="D110" s="15">
        <f>IF($A110="",0,IFERROR(INDEX(Barneveld!$H$40:$H$139,MATCH($A110,Barneveld!$C$40:$C$139,0)),0))</f>
        <v>0</v>
      </c>
      <c r="E110" s="24" t="str">
        <f>""</f>
        <v/>
      </c>
      <c r="F110" s="15">
        <f>0</f>
        <v>0</v>
      </c>
      <c r="G110" s="24" t="str">
        <f>IF($A110="","",IFERROR(INDEX(Scherpenzeel!$A$107:$A$206,MATCH($A110,Scherpenzeel!$C$107:$C$206,0)),""))</f>
        <v/>
      </c>
      <c r="H110" s="15">
        <f>IF($A110="",0,IFERROR(INDEX(Scherpenzeel!$I$107:$I$206,MATCH($A110,Scherpenzeel!$C$107:$C$206,0)),0))</f>
        <v>0</v>
      </c>
      <c r="I110" s="24" t="str">
        <f>IF($A110="","",IFERROR(INDEX('4'!$A$107:$A$206,MATCH($A110,'4'!$C$107:$C$206,0)),""))</f>
        <v/>
      </c>
      <c r="J110" s="15">
        <f>IF($A110="",0,IFERROR(INDEX('4'!$I$107:$I$206,MATCH($A110,'4'!$C$107:$C$206,0)),0))</f>
        <v>0</v>
      </c>
      <c r="K110" s="24" t="str">
        <f>IF($A110="","",IFERROR(INDEX('5'!$A$107:$A$206,MATCH($A110,'5'!$C$107:$C$206,0)),""))</f>
        <v/>
      </c>
      <c r="L110" s="15">
        <f>IF($A110="",0,IFERROR(INDEX('5'!$I$107:$I$206,MATCH($A110,'5'!$C$107:$C$206,0)),0))</f>
        <v>0</v>
      </c>
      <c r="M110" s="25" t="str">
        <f>IF($A110="","",D110+F110+H110+J110+L110)</f>
        <v/>
      </c>
      <c r="N110" s="26" t="str">
        <f>IF(OR($A110="",M110="",M110=0),"",RANK(M110,$M$4:$M$203,0))</f>
        <v/>
      </c>
      <c r="AA110" t="str">
        <f>Scherpenzeel!C116</f>
        <v>Jorrit van Ramshorst</v>
      </c>
      <c r="AB110">
        <f>IF(AA110="",0,IF(COUNTIF($AA$1:AA110,AA110)=1,1,0))</f>
        <v>1</v>
      </c>
      <c r="AC110">
        <f>IF(AB110=1,COUNTIF($AB$1:AB110,1),"")</f>
        <v>38</v>
      </c>
    </row>
    <row r="111" spans="1:29" x14ac:dyDescent="0.25">
      <c r="A111" s="13" t="str">
        <f>IFERROR(INDEX($AA$1:$AA$400,MATCH(108,$AC$1:$AC$400,0)),"")</f>
        <v/>
      </c>
      <c r="B111" s="13" t="str">
        <f>IF($A111="","",IF(IFERROR(INDEX(Barneveld!$E$40:$E$139,MATCH($A111,Barneveld!$C$40:$C$139,0)),"")&lt;&gt;"",IFERROR(INDEX(Barneveld!$E$40:$E$139,MATCH($A111,Barneveld!$C$40:$C$139,0)),""),IF(IFERROR(INDEX(Scherpenzeel!$F$107:$F$206,MATCH($A111,Scherpenzeel!$C$107:$C$206,0)),"")&lt;&gt;"",IFERROR(INDEX(Scherpenzeel!$F$107:$F$206,MATCH($A111,Scherpenzeel!$C$107:$C$206,0)),""),IF(IFERROR(INDEX('4'!$F$107:$F$206,MATCH($A111,'4'!$C$107:$C$206,0)),"")&lt;&gt;"",IFERROR(INDEX('4'!$F$107:$F$206,MATCH($A111,'4'!$C$107:$C$206,0)),""),IFERROR(INDEX('5'!$F$107:$F$206,MATCH($A111,'5'!$C$107:$C$206,0)),"")))))</f>
        <v/>
      </c>
      <c r="C111" s="24" t="str">
        <f>IF($A111="","",IFERROR(INDEX(Barneveld!$A$40:$A$139,MATCH($A111,Barneveld!$C$40:$C$139,0)),""))</f>
        <v/>
      </c>
      <c r="D111" s="15">
        <f>IF($A111="",0,IFERROR(INDEX(Barneveld!$H$40:$H$139,MATCH($A111,Barneveld!$C$40:$C$139,0)),0))</f>
        <v>0</v>
      </c>
      <c r="E111" s="24" t="str">
        <f>""</f>
        <v/>
      </c>
      <c r="F111" s="15">
        <f>0</f>
        <v>0</v>
      </c>
      <c r="G111" s="24" t="str">
        <f>IF($A111="","",IFERROR(INDEX(Scherpenzeel!$A$107:$A$206,MATCH($A111,Scherpenzeel!$C$107:$C$206,0)),""))</f>
        <v/>
      </c>
      <c r="H111" s="15">
        <f>IF($A111="",0,IFERROR(INDEX(Scherpenzeel!$I$107:$I$206,MATCH($A111,Scherpenzeel!$C$107:$C$206,0)),0))</f>
        <v>0</v>
      </c>
      <c r="I111" s="24" t="str">
        <f>IF($A111="","",IFERROR(INDEX('4'!$A$107:$A$206,MATCH($A111,'4'!$C$107:$C$206,0)),""))</f>
        <v/>
      </c>
      <c r="J111" s="15">
        <f>IF($A111="",0,IFERROR(INDEX('4'!$I$107:$I$206,MATCH($A111,'4'!$C$107:$C$206,0)),0))</f>
        <v>0</v>
      </c>
      <c r="K111" s="24" t="str">
        <f>IF($A111="","",IFERROR(INDEX('5'!$A$107:$A$206,MATCH($A111,'5'!$C$107:$C$206,0)),""))</f>
        <v/>
      </c>
      <c r="L111" s="15">
        <f>IF($A111="",0,IFERROR(INDEX('5'!$I$107:$I$206,MATCH($A111,'5'!$C$107:$C$206,0)),0))</f>
        <v>0</v>
      </c>
      <c r="M111" s="25" t="str">
        <f>IF($A111="","",D111+F111+H111+J111+L111)</f>
        <v/>
      </c>
      <c r="N111" s="26" t="str">
        <f>IF(OR($A111="",M111="",M111=0),"",RANK(M111,$M$4:$M$203,0))</f>
        <v/>
      </c>
      <c r="AA111" t="str">
        <f>Scherpenzeel!C117</f>
        <v>Jorden Paays</v>
      </c>
      <c r="AB111">
        <f>IF(AA111="",0,IF(COUNTIF($AA$1:AA111,AA111)=1,1,0))</f>
        <v>1</v>
      </c>
      <c r="AC111">
        <f>IF(AB111=1,COUNTIF($AB$1:AB111,1),"")</f>
        <v>39</v>
      </c>
    </row>
    <row r="112" spans="1:29" x14ac:dyDescent="0.25">
      <c r="A112" s="13" t="str">
        <f>IFERROR(INDEX($AA$1:$AA$400,MATCH(109,$AC$1:$AC$400,0)),"")</f>
        <v/>
      </c>
      <c r="B112" s="13" t="str">
        <f>IF($A112="","",IF(IFERROR(INDEX(Barneveld!$E$40:$E$139,MATCH($A112,Barneveld!$C$40:$C$139,0)),"")&lt;&gt;"",IFERROR(INDEX(Barneveld!$E$40:$E$139,MATCH($A112,Barneveld!$C$40:$C$139,0)),""),IF(IFERROR(INDEX(Scherpenzeel!$F$107:$F$206,MATCH($A112,Scherpenzeel!$C$107:$C$206,0)),"")&lt;&gt;"",IFERROR(INDEX(Scherpenzeel!$F$107:$F$206,MATCH($A112,Scherpenzeel!$C$107:$C$206,0)),""),IF(IFERROR(INDEX('4'!$F$107:$F$206,MATCH($A112,'4'!$C$107:$C$206,0)),"")&lt;&gt;"",IFERROR(INDEX('4'!$F$107:$F$206,MATCH($A112,'4'!$C$107:$C$206,0)),""),IFERROR(INDEX('5'!$F$107:$F$206,MATCH($A112,'5'!$C$107:$C$206,0)),"")))))</f>
        <v/>
      </c>
      <c r="C112" s="24" t="str">
        <f>IF($A112="","",IFERROR(INDEX(Barneveld!$A$40:$A$139,MATCH($A112,Barneveld!$C$40:$C$139,0)),""))</f>
        <v/>
      </c>
      <c r="D112" s="15">
        <f>IF($A112="",0,IFERROR(INDEX(Barneveld!$H$40:$H$139,MATCH($A112,Barneveld!$C$40:$C$139,0)),0))</f>
        <v>0</v>
      </c>
      <c r="E112" s="24" t="str">
        <f>""</f>
        <v/>
      </c>
      <c r="F112" s="15">
        <f>0</f>
        <v>0</v>
      </c>
      <c r="G112" s="24" t="str">
        <f>IF($A112="","",IFERROR(INDEX(Scherpenzeel!$A$107:$A$206,MATCH($A112,Scherpenzeel!$C$107:$C$206,0)),""))</f>
        <v/>
      </c>
      <c r="H112" s="15">
        <f>IF($A112="",0,IFERROR(INDEX(Scherpenzeel!$I$107:$I$206,MATCH($A112,Scherpenzeel!$C$107:$C$206,0)),0))</f>
        <v>0</v>
      </c>
      <c r="I112" s="24" t="str">
        <f>IF($A112="","",IFERROR(INDEX('4'!$A$107:$A$206,MATCH($A112,'4'!$C$107:$C$206,0)),""))</f>
        <v/>
      </c>
      <c r="J112" s="15">
        <f>IF($A112="",0,IFERROR(INDEX('4'!$I$107:$I$206,MATCH($A112,'4'!$C$107:$C$206,0)),0))</f>
        <v>0</v>
      </c>
      <c r="K112" s="24" t="str">
        <f>IF($A112="","",IFERROR(INDEX('5'!$A$107:$A$206,MATCH($A112,'5'!$C$107:$C$206,0)),""))</f>
        <v/>
      </c>
      <c r="L112" s="15">
        <f>IF($A112="",0,IFERROR(INDEX('5'!$I$107:$I$206,MATCH($A112,'5'!$C$107:$C$206,0)),0))</f>
        <v>0</v>
      </c>
      <c r="M112" s="25" t="str">
        <f>IF($A112="","",D112+F112+H112+J112+L112)</f>
        <v/>
      </c>
      <c r="N112" s="26" t="str">
        <f>IF(OR($A112="",M112="",M112=0),"",RANK(M112,$M$4:$M$203,0))</f>
        <v/>
      </c>
      <c r="AA112" t="str">
        <f>Scherpenzeel!C118</f>
        <v>Jamon van Veldhuizen</v>
      </c>
      <c r="AB112">
        <f>IF(AA112="",0,IF(COUNTIF($AA$1:AA112,AA112)=1,1,0))</f>
        <v>0</v>
      </c>
      <c r="AC112" t="str">
        <f>IF(AB112=1,COUNTIF($AB$1:AB112,1),"")</f>
        <v/>
      </c>
    </row>
    <row r="113" spans="1:29" x14ac:dyDescent="0.25">
      <c r="A113" s="13" t="str">
        <f>IFERROR(INDEX($AA$1:$AA$400,MATCH(110,$AC$1:$AC$400,0)),"")</f>
        <v/>
      </c>
      <c r="B113" s="13" t="str">
        <f>IF($A113="","",IF(IFERROR(INDEX(Barneveld!$E$40:$E$139,MATCH($A113,Barneveld!$C$40:$C$139,0)),"")&lt;&gt;"",IFERROR(INDEX(Barneveld!$E$40:$E$139,MATCH($A113,Barneveld!$C$40:$C$139,0)),""),IF(IFERROR(INDEX(Scherpenzeel!$F$107:$F$206,MATCH($A113,Scherpenzeel!$C$107:$C$206,0)),"")&lt;&gt;"",IFERROR(INDEX(Scherpenzeel!$F$107:$F$206,MATCH($A113,Scherpenzeel!$C$107:$C$206,0)),""),IF(IFERROR(INDEX('4'!$F$107:$F$206,MATCH($A113,'4'!$C$107:$C$206,0)),"")&lt;&gt;"",IFERROR(INDEX('4'!$F$107:$F$206,MATCH($A113,'4'!$C$107:$C$206,0)),""),IFERROR(INDEX('5'!$F$107:$F$206,MATCH($A113,'5'!$C$107:$C$206,0)),"")))))</f>
        <v/>
      </c>
      <c r="C113" s="24" t="str">
        <f>IF($A113="","",IFERROR(INDEX(Barneveld!$A$40:$A$139,MATCH($A113,Barneveld!$C$40:$C$139,0)),""))</f>
        <v/>
      </c>
      <c r="D113" s="15">
        <f>IF($A113="",0,IFERROR(INDEX(Barneveld!$H$40:$H$139,MATCH($A113,Barneveld!$C$40:$C$139,0)),0))</f>
        <v>0</v>
      </c>
      <c r="E113" s="24" t="str">
        <f>""</f>
        <v/>
      </c>
      <c r="F113" s="15">
        <f>0</f>
        <v>0</v>
      </c>
      <c r="G113" s="24" t="str">
        <f>IF($A113="","",IFERROR(INDEX(Scherpenzeel!$A$107:$A$206,MATCH($A113,Scherpenzeel!$C$107:$C$206,0)),""))</f>
        <v/>
      </c>
      <c r="H113" s="15">
        <f>IF($A113="",0,IFERROR(INDEX(Scherpenzeel!$I$107:$I$206,MATCH($A113,Scherpenzeel!$C$107:$C$206,0)),0))</f>
        <v>0</v>
      </c>
      <c r="I113" s="24" t="str">
        <f>IF($A113="","",IFERROR(INDEX('4'!$A$107:$A$206,MATCH($A113,'4'!$C$107:$C$206,0)),""))</f>
        <v/>
      </c>
      <c r="J113" s="15">
        <f>IF($A113="",0,IFERROR(INDEX('4'!$I$107:$I$206,MATCH($A113,'4'!$C$107:$C$206,0)),0))</f>
        <v>0</v>
      </c>
      <c r="K113" s="24" t="str">
        <f>IF($A113="","",IFERROR(INDEX('5'!$A$107:$A$206,MATCH($A113,'5'!$C$107:$C$206,0)),""))</f>
        <v/>
      </c>
      <c r="L113" s="15">
        <f>IF($A113="",0,IFERROR(INDEX('5'!$I$107:$I$206,MATCH($A113,'5'!$C$107:$C$206,0)),0))</f>
        <v>0</v>
      </c>
      <c r="M113" s="25" t="str">
        <f>IF($A113="","",D113+F113+H113+J113+L113)</f>
        <v/>
      </c>
      <c r="N113" s="26" t="str">
        <f>IF(OR($A113="",M113="",M113=0),"",RANK(M113,$M$4:$M$203,0))</f>
        <v/>
      </c>
      <c r="AA113" t="str">
        <f>Scherpenzeel!C119</f>
        <v>Brian Linde</v>
      </c>
      <c r="AB113">
        <f>IF(AA113="",0,IF(COUNTIF($AA$1:AA113,AA113)=1,1,0))</f>
        <v>0</v>
      </c>
      <c r="AC113" t="str">
        <f>IF(AB113=1,COUNTIF($AB$1:AB113,1),"")</f>
        <v/>
      </c>
    </row>
    <row r="114" spans="1:29" x14ac:dyDescent="0.25">
      <c r="A114" s="13" t="str">
        <f>IFERROR(INDEX($AA$1:$AA$400,MATCH(111,$AC$1:$AC$400,0)),"")</f>
        <v/>
      </c>
      <c r="B114" s="13" t="str">
        <f>IF($A114="","",IF(IFERROR(INDEX(Barneveld!$E$40:$E$139,MATCH($A114,Barneveld!$C$40:$C$139,0)),"")&lt;&gt;"",IFERROR(INDEX(Barneveld!$E$40:$E$139,MATCH($A114,Barneveld!$C$40:$C$139,0)),""),IF(IFERROR(INDEX(Scherpenzeel!$F$107:$F$206,MATCH($A114,Scherpenzeel!$C$107:$C$206,0)),"")&lt;&gt;"",IFERROR(INDEX(Scherpenzeel!$F$107:$F$206,MATCH($A114,Scherpenzeel!$C$107:$C$206,0)),""),IF(IFERROR(INDEX('4'!$F$107:$F$206,MATCH($A114,'4'!$C$107:$C$206,0)),"")&lt;&gt;"",IFERROR(INDEX('4'!$F$107:$F$206,MATCH($A114,'4'!$C$107:$C$206,0)),""),IFERROR(INDEX('5'!$F$107:$F$206,MATCH($A114,'5'!$C$107:$C$206,0)),"")))))</f>
        <v/>
      </c>
      <c r="C114" s="24" t="str">
        <f>IF($A114="","",IFERROR(INDEX(Barneveld!$A$40:$A$139,MATCH($A114,Barneveld!$C$40:$C$139,0)),""))</f>
        <v/>
      </c>
      <c r="D114" s="15">
        <f>IF($A114="",0,IFERROR(INDEX(Barneveld!$H$40:$H$139,MATCH($A114,Barneveld!$C$40:$C$139,0)),0))</f>
        <v>0</v>
      </c>
      <c r="E114" s="24" t="str">
        <f>""</f>
        <v/>
      </c>
      <c r="F114" s="15">
        <f>0</f>
        <v>0</v>
      </c>
      <c r="G114" s="24" t="str">
        <f>IF($A114="","",IFERROR(INDEX(Scherpenzeel!$A$107:$A$206,MATCH($A114,Scherpenzeel!$C$107:$C$206,0)),""))</f>
        <v/>
      </c>
      <c r="H114" s="15">
        <f>IF($A114="",0,IFERROR(INDEX(Scherpenzeel!$I$107:$I$206,MATCH($A114,Scherpenzeel!$C$107:$C$206,0)),0))</f>
        <v>0</v>
      </c>
      <c r="I114" s="24" t="str">
        <f>IF($A114="","",IFERROR(INDEX('4'!$A$107:$A$206,MATCH($A114,'4'!$C$107:$C$206,0)),""))</f>
        <v/>
      </c>
      <c r="J114" s="15">
        <f>IF($A114="",0,IFERROR(INDEX('4'!$I$107:$I$206,MATCH($A114,'4'!$C$107:$C$206,0)),0))</f>
        <v>0</v>
      </c>
      <c r="K114" s="24" t="str">
        <f>IF($A114="","",IFERROR(INDEX('5'!$A$107:$A$206,MATCH($A114,'5'!$C$107:$C$206,0)),""))</f>
        <v/>
      </c>
      <c r="L114" s="15">
        <f>IF($A114="",0,IFERROR(INDEX('5'!$I$107:$I$206,MATCH($A114,'5'!$C$107:$C$206,0)),0))</f>
        <v>0</v>
      </c>
      <c r="M114" s="25" t="str">
        <f>IF($A114="","",D114+F114+H114+J114+L114)</f>
        <v/>
      </c>
      <c r="N114" s="26" t="str">
        <f>IF(OR($A114="",M114="",M114=0),"",RANK(M114,$M$4:$M$203,0))</f>
        <v/>
      </c>
      <c r="AA114" t="str">
        <f>Scherpenzeel!C120</f>
        <v>Steven van der Wilk</v>
      </c>
      <c r="AB114">
        <f>IF(AA114="",0,IF(COUNTIF($AA$1:AA114,AA114)=1,1,0))</f>
        <v>1</v>
      </c>
      <c r="AC114">
        <f>IF(AB114=1,COUNTIF($AB$1:AB114,1),"")</f>
        <v>40</v>
      </c>
    </row>
    <row r="115" spans="1:29" x14ac:dyDescent="0.25">
      <c r="A115" s="13" t="str">
        <f>IFERROR(INDEX($AA$1:$AA$400,MATCH(112,$AC$1:$AC$400,0)),"")</f>
        <v/>
      </c>
      <c r="B115" s="13" t="str">
        <f>IF($A115="","",IF(IFERROR(INDEX(Barneveld!$E$40:$E$139,MATCH($A115,Barneveld!$C$40:$C$139,0)),"")&lt;&gt;"",IFERROR(INDEX(Barneveld!$E$40:$E$139,MATCH($A115,Barneveld!$C$40:$C$139,0)),""),IF(IFERROR(INDEX(Scherpenzeel!$F$107:$F$206,MATCH($A115,Scherpenzeel!$C$107:$C$206,0)),"")&lt;&gt;"",IFERROR(INDEX(Scherpenzeel!$F$107:$F$206,MATCH($A115,Scherpenzeel!$C$107:$C$206,0)),""),IF(IFERROR(INDEX('4'!$F$107:$F$206,MATCH($A115,'4'!$C$107:$C$206,0)),"")&lt;&gt;"",IFERROR(INDEX('4'!$F$107:$F$206,MATCH($A115,'4'!$C$107:$C$206,0)),""),IFERROR(INDEX('5'!$F$107:$F$206,MATCH($A115,'5'!$C$107:$C$206,0)),"")))))</f>
        <v/>
      </c>
      <c r="C115" s="24" t="str">
        <f>IF($A115="","",IFERROR(INDEX(Barneveld!$A$40:$A$139,MATCH($A115,Barneveld!$C$40:$C$139,0)),""))</f>
        <v/>
      </c>
      <c r="D115" s="15">
        <f>IF($A115="",0,IFERROR(INDEX(Barneveld!$H$40:$H$139,MATCH($A115,Barneveld!$C$40:$C$139,0)),0))</f>
        <v>0</v>
      </c>
      <c r="E115" s="24" t="str">
        <f>""</f>
        <v/>
      </c>
      <c r="F115" s="15">
        <f>0</f>
        <v>0</v>
      </c>
      <c r="G115" s="24" t="str">
        <f>IF($A115="","",IFERROR(INDEX(Scherpenzeel!$A$107:$A$206,MATCH($A115,Scherpenzeel!$C$107:$C$206,0)),""))</f>
        <v/>
      </c>
      <c r="H115" s="15">
        <f>IF($A115="",0,IFERROR(INDEX(Scherpenzeel!$I$107:$I$206,MATCH($A115,Scherpenzeel!$C$107:$C$206,0)),0))</f>
        <v>0</v>
      </c>
      <c r="I115" s="24" t="str">
        <f>IF($A115="","",IFERROR(INDEX('4'!$A$107:$A$206,MATCH($A115,'4'!$C$107:$C$206,0)),""))</f>
        <v/>
      </c>
      <c r="J115" s="15">
        <f>IF($A115="",0,IFERROR(INDEX('4'!$I$107:$I$206,MATCH($A115,'4'!$C$107:$C$206,0)),0))</f>
        <v>0</v>
      </c>
      <c r="K115" s="24" t="str">
        <f>IF($A115="","",IFERROR(INDEX('5'!$A$107:$A$206,MATCH($A115,'5'!$C$107:$C$206,0)),""))</f>
        <v/>
      </c>
      <c r="L115" s="15">
        <f>IF($A115="",0,IFERROR(INDEX('5'!$I$107:$I$206,MATCH($A115,'5'!$C$107:$C$206,0)),0))</f>
        <v>0</v>
      </c>
      <c r="M115" s="25" t="str">
        <f>IF($A115="","",D115+F115+H115+J115+L115)</f>
        <v/>
      </c>
      <c r="N115" s="26" t="str">
        <f>IF(OR($A115="",M115="",M115=0),"",RANK(M115,$M$4:$M$203,0))</f>
        <v/>
      </c>
      <c r="AA115" t="str">
        <f>Scherpenzeel!C121</f>
        <v>Etienne Bouw</v>
      </c>
      <c r="AB115">
        <f>IF(AA115="",0,IF(COUNTIF($AA$1:AA115,AA115)=1,1,0))</f>
        <v>1</v>
      </c>
      <c r="AC115">
        <f>IF(AB115=1,COUNTIF($AB$1:AB115,1),"")</f>
        <v>41</v>
      </c>
    </row>
    <row r="116" spans="1:29" x14ac:dyDescent="0.25">
      <c r="A116" s="13" t="str">
        <f>IFERROR(INDEX($AA$1:$AA$400,MATCH(113,$AC$1:$AC$400,0)),"")</f>
        <v/>
      </c>
      <c r="B116" s="13" t="str">
        <f>IF($A116="","",IF(IFERROR(INDEX(Barneveld!$E$40:$E$139,MATCH($A116,Barneveld!$C$40:$C$139,0)),"")&lt;&gt;"",IFERROR(INDEX(Barneveld!$E$40:$E$139,MATCH($A116,Barneveld!$C$40:$C$139,0)),""),IF(IFERROR(INDEX(Scherpenzeel!$F$107:$F$206,MATCH($A116,Scherpenzeel!$C$107:$C$206,0)),"")&lt;&gt;"",IFERROR(INDEX(Scherpenzeel!$F$107:$F$206,MATCH($A116,Scherpenzeel!$C$107:$C$206,0)),""),IF(IFERROR(INDEX('4'!$F$107:$F$206,MATCH($A116,'4'!$C$107:$C$206,0)),"")&lt;&gt;"",IFERROR(INDEX('4'!$F$107:$F$206,MATCH($A116,'4'!$C$107:$C$206,0)),""),IFERROR(INDEX('5'!$F$107:$F$206,MATCH($A116,'5'!$C$107:$C$206,0)),"")))))</f>
        <v/>
      </c>
      <c r="C116" s="24" t="str">
        <f>IF($A116="","",IFERROR(INDEX(Barneveld!$A$40:$A$139,MATCH($A116,Barneveld!$C$40:$C$139,0)),""))</f>
        <v/>
      </c>
      <c r="D116" s="15">
        <f>IF($A116="",0,IFERROR(INDEX(Barneveld!$H$40:$H$139,MATCH($A116,Barneveld!$C$40:$C$139,0)),0))</f>
        <v>0</v>
      </c>
      <c r="E116" s="24" t="str">
        <f>""</f>
        <v/>
      </c>
      <c r="F116" s="15">
        <f>0</f>
        <v>0</v>
      </c>
      <c r="G116" s="24" t="str">
        <f>IF($A116="","",IFERROR(INDEX(Scherpenzeel!$A$107:$A$206,MATCH($A116,Scherpenzeel!$C$107:$C$206,0)),""))</f>
        <v/>
      </c>
      <c r="H116" s="15">
        <f>IF($A116="",0,IFERROR(INDEX(Scherpenzeel!$I$107:$I$206,MATCH($A116,Scherpenzeel!$C$107:$C$206,0)),0))</f>
        <v>0</v>
      </c>
      <c r="I116" s="24" t="str">
        <f>IF($A116="","",IFERROR(INDEX('4'!$A$107:$A$206,MATCH($A116,'4'!$C$107:$C$206,0)),""))</f>
        <v/>
      </c>
      <c r="J116" s="15">
        <f>IF($A116="",0,IFERROR(INDEX('4'!$I$107:$I$206,MATCH($A116,'4'!$C$107:$C$206,0)),0))</f>
        <v>0</v>
      </c>
      <c r="K116" s="24" t="str">
        <f>IF($A116="","",IFERROR(INDEX('5'!$A$107:$A$206,MATCH($A116,'5'!$C$107:$C$206,0)),""))</f>
        <v/>
      </c>
      <c r="L116" s="15">
        <f>IF($A116="",0,IFERROR(INDEX('5'!$I$107:$I$206,MATCH($A116,'5'!$C$107:$C$206,0)),0))</f>
        <v>0</v>
      </c>
      <c r="M116" s="25" t="str">
        <f>IF($A116="","",D116+F116+H116+J116+L116)</f>
        <v/>
      </c>
      <c r="N116" s="26" t="str">
        <f>IF(OR($A116="",M116="",M116=0),"",RANK(M116,$M$4:$M$203,0))</f>
        <v/>
      </c>
      <c r="AA116" t="str">
        <f>Scherpenzeel!C122</f>
        <v>Remco van Dijk</v>
      </c>
      <c r="AB116">
        <f>IF(AA116="",0,IF(COUNTIF($AA$1:AA116,AA116)=1,1,0))</f>
        <v>0</v>
      </c>
      <c r="AC116" t="str">
        <f>IF(AB116=1,COUNTIF($AB$1:AB116,1),"")</f>
        <v/>
      </c>
    </row>
    <row r="117" spans="1:29" x14ac:dyDescent="0.25">
      <c r="A117" s="13" t="str">
        <f>IFERROR(INDEX($AA$1:$AA$400,MATCH(114,$AC$1:$AC$400,0)),"")</f>
        <v/>
      </c>
      <c r="B117" s="13" t="str">
        <f>IF($A117="","",IF(IFERROR(INDEX(Barneveld!$E$40:$E$139,MATCH($A117,Barneveld!$C$40:$C$139,0)),"")&lt;&gt;"",IFERROR(INDEX(Barneveld!$E$40:$E$139,MATCH($A117,Barneveld!$C$40:$C$139,0)),""),IF(IFERROR(INDEX(Scherpenzeel!$F$107:$F$206,MATCH($A117,Scherpenzeel!$C$107:$C$206,0)),"")&lt;&gt;"",IFERROR(INDEX(Scherpenzeel!$F$107:$F$206,MATCH($A117,Scherpenzeel!$C$107:$C$206,0)),""),IF(IFERROR(INDEX('4'!$F$107:$F$206,MATCH($A117,'4'!$C$107:$C$206,0)),"")&lt;&gt;"",IFERROR(INDEX('4'!$F$107:$F$206,MATCH($A117,'4'!$C$107:$C$206,0)),""),IFERROR(INDEX('5'!$F$107:$F$206,MATCH($A117,'5'!$C$107:$C$206,0)),"")))))</f>
        <v/>
      </c>
      <c r="C117" s="24" t="str">
        <f>IF($A117="","",IFERROR(INDEX(Barneveld!$A$40:$A$139,MATCH($A117,Barneveld!$C$40:$C$139,0)),""))</f>
        <v/>
      </c>
      <c r="D117" s="15">
        <f>IF($A117="",0,IFERROR(INDEX(Barneveld!$H$40:$H$139,MATCH($A117,Barneveld!$C$40:$C$139,0)),0))</f>
        <v>0</v>
      </c>
      <c r="E117" s="24" t="str">
        <f>""</f>
        <v/>
      </c>
      <c r="F117" s="15">
        <f>0</f>
        <v>0</v>
      </c>
      <c r="G117" s="24" t="str">
        <f>IF($A117="","",IFERROR(INDEX(Scherpenzeel!$A$107:$A$206,MATCH($A117,Scherpenzeel!$C$107:$C$206,0)),""))</f>
        <v/>
      </c>
      <c r="H117" s="15">
        <f>IF($A117="",0,IFERROR(INDEX(Scherpenzeel!$I$107:$I$206,MATCH($A117,Scherpenzeel!$C$107:$C$206,0)),0))</f>
        <v>0</v>
      </c>
      <c r="I117" s="24" t="str">
        <f>IF($A117="","",IFERROR(INDEX('4'!$A$107:$A$206,MATCH($A117,'4'!$C$107:$C$206,0)),""))</f>
        <v/>
      </c>
      <c r="J117" s="15">
        <f>IF($A117="",0,IFERROR(INDEX('4'!$I$107:$I$206,MATCH($A117,'4'!$C$107:$C$206,0)),0))</f>
        <v>0</v>
      </c>
      <c r="K117" s="24" t="str">
        <f>IF($A117="","",IFERROR(INDEX('5'!$A$107:$A$206,MATCH($A117,'5'!$C$107:$C$206,0)),""))</f>
        <v/>
      </c>
      <c r="L117" s="15">
        <f>IF($A117="",0,IFERROR(INDEX('5'!$I$107:$I$206,MATCH($A117,'5'!$C$107:$C$206,0)),0))</f>
        <v>0</v>
      </c>
      <c r="M117" s="25" t="str">
        <f>IF($A117="","",D117+F117+H117+J117+L117)</f>
        <v/>
      </c>
      <c r="N117" s="26" t="str">
        <f>IF(OR($A117="",M117="",M117=0),"",RANK(M117,$M$4:$M$203,0))</f>
        <v/>
      </c>
      <c r="AA117" t="str">
        <f>Scherpenzeel!C123</f>
        <v>Sander Leppers</v>
      </c>
      <c r="AB117">
        <f>IF(AA117="",0,IF(COUNTIF($AA$1:AA117,AA117)=1,1,0))</f>
        <v>1</v>
      </c>
      <c r="AC117">
        <f>IF(AB117=1,COUNTIF($AB$1:AB117,1),"")</f>
        <v>42</v>
      </c>
    </row>
    <row r="118" spans="1:29" x14ac:dyDescent="0.25">
      <c r="A118" s="13" t="str">
        <f>IFERROR(INDEX($AA$1:$AA$400,MATCH(115,$AC$1:$AC$400,0)),"")</f>
        <v/>
      </c>
      <c r="B118" s="13" t="str">
        <f>IF($A118="","",IF(IFERROR(INDEX(Barneveld!$E$40:$E$139,MATCH($A118,Barneveld!$C$40:$C$139,0)),"")&lt;&gt;"",IFERROR(INDEX(Barneveld!$E$40:$E$139,MATCH($A118,Barneveld!$C$40:$C$139,0)),""),IF(IFERROR(INDEX(Scherpenzeel!$F$107:$F$206,MATCH($A118,Scherpenzeel!$C$107:$C$206,0)),"")&lt;&gt;"",IFERROR(INDEX(Scherpenzeel!$F$107:$F$206,MATCH($A118,Scherpenzeel!$C$107:$C$206,0)),""),IF(IFERROR(INDEX('4'!$F$107:$F$206,MATCH($A118,'4'!$C$107:$C$206,0)),"")&lt;&gt;"",IFERROR(INDEX('4'!$F$107:$F$206,MATCH($A118,'4'!$C$107:$C$206,0)),""),IFERROR(INDEX('5'!$F$107:$F$206,MATCH($A118,'5'!$C$107:$C$206,0)),"")))))</f>
        <v/>
      </c>
      <c r="C118" s="24" t="str">
        <f>IF($A118="","",IFERROR(INDEX(Barneveld!$A$40:$A$139,MATCH($A118,Barneveld!$C$40:$C$139,0)),""))</f>
        <v/>
      </c>
      <c r="D118" s="15">
        <f>IF($A118="",0,IFERROR(INDEX(Barneveld!$H$40:$H$139,MATCH($A118,Barneveld!$C$40:$C$139,0)),0))</f>
        <v>0</v>
      </c>
      <c r="E118" s="24" t="str">
        <f>""</f>
        <v/>
      </c>
      <c r="F118" s="15">
        <f>0</f>
        <v>0</v>
      </c>
      <c r="G118" s="24" t="str">
        <f>IF($A118="","",IFERROR(INDEX(Scherpenzeel!$A$107:$A$206,MATCH($A118,Scherpenzeel!$C$107:$C$206,0)),""))</f>
        <v/>
      </c>
      <c r="H118" s="15">
        <f>IF($A118="",0,IFERROR(INDEX(Scherpenzeel!$I$107:$I$206,MATCH($A118,Scherpenzeel!$C$107:$C$206,0)),0))</f>
        <v>0</v>
      </c>
      <c r="I118" s="24" t="str">
        <f>IF($A118="","",IFERROR(INDEX('4'!$A$107:$A$206,MATCH($A118,'4'!$C$107:$C$206,0)),""))</f>
        <v/>
      </c>
      <c r="J118" s="15">
        <f>IF($A118="",0,IFERROR(INDEX('4'!$I$107:$I$206,MATCH($A118,'4'!$C$107:$C$206,0)),0))</f>
        <v>0</v>
      </c>
      <c r="K118" s="24" t="str">
        <f>IF($A118="","",IFERROR(INDEX('5'!$A$107:$A$206,MATCH($A118,'5'!$C$107:$C$206,0)),""))</f>
        <v/>
      </c>
      <c r="L118" s="15">
        <f>IF($A118="",0,IFERROR(INDEX('5'!$I$107:$I$206,MATCH($A118,'5'!$C$107:$C$206,0)),0))</f>
        <v>0</v>
      </c>
      <c r="M118" s="25" t="str">
        <f>IF($A118="","",D118+F118+H118+J118+L118)</f>
        <v/>
      </c>
      <c r="N118" s="26" t="str">
        <f>IF(OR($A118="",M118="",M118=0),"",RANK(M118,$M$4:$M$203,0))</f>
        <v/>
      </c>
      <c r="AA118" t="str">
        <f>Scherpenzeel!C124</f>
        <v>Matthijs Looijen</v>
      </c>
      <c r="AB118">
        <f>IF(AA118="",0,IF(COUNTIF($AA$1:AA118,AA118)=1,1,0))</f>
        <v>1</v>
      </c>
      <c r="AC118">
        <f>IF(AB118=1,COUNTIF($AB$1:AB118,1),"")</f>
        <v>43</v>
      </c>
    </row>
    <row r="119" spans="1:29" x14ac:dyDescent="0.25">
      <c r="A119" s="13" t="str">
        <f>IFERROR(INDEX($AA$1:$AA$400,MATCH(116,$AC$1:$AC$400,0)),"")</f>
        <v/>
      </c>
      <c r="B119" s="13" t="str">
        <f>IF($A119="","",IF(IFERROR(INDEX(Barneveld!$E$40:$E$139,MATCH($A119,Barneveld!$C$40:$C$139,0)),"")&lt;&gt;"",IFERROR(INDEX(Barneveld!$E$40:$E$139,MATCH($A119,Barneveld!$C$40:$C$139,0)),""),IF(IFERROR(INDEX(Scherpenzeel!$F$107:$F$206,MATCH($A119,Scherpenzeel!$C$107:$C$206,0)),"")&lt;&gt;"",IFERROR(INDEX(Scherpenzeel!$F$107:$F$206,MATCH($A119,Scherpenzeel!$C$107:$C$206,0)),""),IF(IFERROR(INDEX('4'!$F$107:$F$206,MATCH($A119,'4'!$C$107:$C$206,0)),"")&lt;&gt;"",IFERROR(INDEX('4'!$F$107:$F$206,MATCH($A119,'4'!$C$107:$C$206,0)),""),IFERROR(INDEX('5'!$F$107:$F$206,MATCH($A119,'5'!$C$107:$C$206,0)),"")))))</f>
        <v/>
      </c>
      <c r="C119" s="24" t="str">
        <f>IF($A119="","",IFERROR(INDEX(Barneveld!$A$40:$A$139,MATCH($A119,Barneveld!$C$40:$C$139,0)),""))</f>
        <v/>
      </c>
      <c r="D119" s="15">
        <f>IF($A119="",0,IFERROR(INDEX(Barneveld!$H$40:$H$139,MATCH($A119,Barneveld!$C$40:$C$139,0)),0))</f>
        <v>0</v>
      </c>
      <c r="E119" s="24" t="str">
        <f>""</f>
        <v/>
      </c>
      <c r="F119" s="15">
        <f>0</f>
        <v>0</v>
      </c>
      <c r="G119" s="24" t="str">
        <f>IF($A119="","",IFERROR(INDEX(Scherpenzeel!$A$107:$A$206,MATCH($A119,Scherpenzeel!$C$107:$C$206,0)),""))</f>
        <v/>
      </c>
      <c r="H119" s="15">
        <f>IF($A119="",0,IFERROR(INDEX(Scherpenzeel!$I$107:$I$206,MATCH($A119,Scherpenzeel!$C$107:$C$206,0)),0))</f>
        <v>0</v>
      </c>
      <c r="I119" s="24" t="str">
        <f>IF($A119="","",IFERROR(INDEX('4'!$A$107:$A$206,MATCH($A119,'4'!$C$107:$C$206,0)),""))</f>
        <v/>
      </c>
      <c r="J119" s="15">
        <f>IF($A119="",0,IFERROR(INDEX('4'!$I$107:$I$206,MATCH($A119,'4'!$C$107:$C$206,0)),0))</f>
        <v>0</v>
      </c>
      <c r="K119" s="24" t="str">
        <f>IF($A119="","",IFERROR(INDEX('5'!$A$107:$A$206,MATCH($A119,'5'!$C$107:$C$206,0)),""))</f>
        <v/>
      </c>
      <c r="L119" s="15">
        <f>IF($A119="",0,IFERROR(INDEX('5'!$I$107:$I$206,MATCH($A119,'5'!$C$107:$C$206,0)),0))</f>
        <v>0</v>
      </c>
      <c r="M119" s="25" t="str">
        <f>IF($A119="","",D119+F119+H119+J119+L119)</f>
        <v/>
      </c>
      <c r="N119" s="26" t="str">
        <f>IF(OR($A119="",M119="",M119=0),"",RANK(M119,$M$4:$M$203,0))</f>
        <v/>
      </c>
      <c r="AA119" t="str">
        <f>Scherpenzeel!C125</f>
        <v>Stijn Janssen</v>
      </c>
      <c r="AB119">
        <f>IF(AA119="",0,IF(COUNTIF($AA$1:AA119,AA119)=1,1,0))</f>
        <v>1</v>
      </c>
      <c r="AC119">
        <f>IF(AB119=1,COUNTIF($AB$1:AB119,1),"")</f>
        <v>44</v>
      </c>
    </row>
    <row r="120" spans="1:29" x14ac:dyDescent="0.25">
      <c r="A120" s="13" t="str">
        <f>IFERROR(INDEX($AA$1:$AA$400,MATCH(117,$AC$1:$AC$400,0)),"")</f>
        <v/>
      </c>
      <c r="B120" s="13" t="str">
        <f>IF($A120="","",IF(IFERROR(INDEX(Barneveld!$E$40:$E$139,MATCH($A120,Barneveld!$C$40:$C$139,0)),"")&lt;&gt;"",IFERROR(INDEX(Barneveld!$E$40:$E$139,MATCH($A120,Barneveld!$C$40:$C$139,0)),""),IF(IFERROR(INDEX(Scherpenzeel!$F$107:$F$206,MATCH($A120,Scherpenzeel!$C$107:$C$206,0)),"")&lt;&gt;"",IFERROR(INDEX(Scherpenzeel!$F$107:$F$206,MATCH($A120,Scherpenzeel!$C$107:$C$206,0)),""),IF(IFERROR(INDEX('4'!$F$107:$F$206,MATCH($A120,'4'!$C$107:$C$206,0)),"")&lt;&gt;"",IFERROR(INDEX('4'!$F$107:$F$206,MATCH($A120,'4'!$C$107:$C$206,0)),""),IFERROR(INDEX('5'!$F$107:$F$206,MATCH($A120,'5'!$C$107:$C$206,0)),"")))))</f>
        <v/>
      </c>
      <c r="C120" s="24" t="str">
        <f>IF($A120="","",IFERROR(INDEX(Barneveld!$A$40:$A$139,MATCH($A120,Barneveld!$C$40:$C$139,0)),""))</f>
        <v/>
      </c>
      <c r="D120" s="15">
        <f>IF($A120="",0,IFERROR(INDEX(Barneveld!$H$40:$H$139,MATCH($A120,Barneveld!$C$40:$C$139,0)),0))</f>
        <v>0</v>
      </c>
      <c r="E120" s="24" t="str">
        <f>""</f>
        <v/>
      </c>
      <c r="F120" s="15">
        <f>0</f>
        <v>0</v>
      </c>
      <c r="G120" s="24" t="str">
        <f>IF($A120="","",IFERROR(INDEX(Scherpenzeel!$A$107:$A$206,MATCH($A120,Scherpenzeel!$C$107:$C$206,0)),""))</f>
        <v/>
      </c>
      <c r="H120" s="15">
        <f>IF($A120="",0,IFERROR(INDEX(Scherpenzeel!$I$107:$I$206,MATCH($A120,Scherpenzeel!$C$107:$C$206,0)),0))</f>
        <v>0</v>
      </c>
      <c r="I120" s="24" t="str">
        <f>IF($A120="","",IFERROR(INDEX('4'!$A$107:$A$206,MATCH($A120,'4'!$C$107:$C$206,0)),""))</f>
        <v/>
      </c>
      <c r="J120" s="15">
        <f>IF($A120="",0,IFERROR(INDEX('4'!$I$107:$I$206,MATCH($A120,'4'!$C$107:$C$206,0)),0))</f>
        <v>0</v>
      </c>
      <c r="K120" s="24" t="str">
        <f>IF($A120="","",IFERROR(INDEX('5'!$A$107:$A$206,MATCH($A120,'5'!$C$107:$C$206,0)),""))</f>
        <v/>
      </c>
      <c r="L120" s="15">
        <f>IF($A120="",0,IFERROR(INDEX('5'!$I$107:$I$206,MATCH($A120,'5'!$C$107:$C$206,0)),0))</f>
        <v>0</v>
      </c>
      <c r="M120" s="25" t="str">
        <f>IF($A120="","",D120+F120+H120+J120+L120)</f>
        <v/>
      </c>
      <c r="N120" s="26" t="str">
        <f>IF(OR($A120="",M120="",M120=0),"",RANK(M120,$M$4:$M$203,0))</f>
        <v/>
      </c>
      <c r="AA120" t="str">
        <f>Scherpenzeel!C126</f>
        <v>Bram van Nieuwkoop</v>
      </c>
      <c r="AB120">
        <f>IF(AA120="",0,IF(COUNTIF($AA$1:AA120,AA120)=1,1,0))</f>
        <v>1</v>
      </c>
      <c r="AC120">
        <f>IF(AB120=1,COUNTIF($AB$1:AB120,1),"")</f>
        <v>45</v>
      </c>
    </row>
    <row r="121" spans="1:29" x14ac:dyDescent="0.25">
      <c r="A121" s="13" t="str">
        <f>IFERROR(INDEX($AA$1:$AA$400,MATCH(118,$AC$1:$AC$400,0)),"")</f>
        <v/>
      </c>
      <c r="B121" s="13" t="str">
        <f>IF($A121="","",IF(IFERROR(INDEX(Barneveld!$E$40:$E$139,MATCH($A121,Barneveld!$C$40:$C$139,0)),"")&lt;&gt;"",IFERROR(INDEX(Barneveld!$E$40:$E$139,MATCH($A121,Barneveld!$C$40:$C$139,0)),""),IF(IFERROR(INDEX(Scherpenzeel!$F$107:$F$206,MATCH($A121,Scherpenzeel!$C$107:$C$206,0)),"")&lt;&gt;"",IFERROR(INDEX(Scherpenzeel!$F$107:$F$206,MATCH($A121,Scherpenzeel!$C$107:$C$206,0)),""),IF(IFERROR(INDEX('4'!$F$107:$F$206,MATCH($A121,'4'!$C$107:$C$206,0)),"")&lt;&gt;"",IFERROR(INDEX('4'!$F$107:$F$206,MATCH($A121,'4'!$C$107:$C$206,0)),""),IFERROR(INDEX('5'!$F$107:$F$206,MATCH($A121,'5'!$C$107:$C$206,0)),"")))))</f>
        <v/>
      </c>
      <c r="C121" s="24" t="str">
        <f>IF($A121="","",IFERROR(INDEX(Barneveld!$A$40:$A$139,MATCH($A121,Barneveld!$C$40:$C$139,0)),""))</f>
        <v/>
      </c>
      <c r="D121" s="15">
        <f>IF($A121="",0,IFERROR(INDEX(Barneveld!$H$40:$H$139,MATCH($A121,Barneveld!$C$40:$C$139,0)),0))</f>
        <v>0</v>
      </c>
      <c r="E121" s="24" t="str">
        <f>""</f>
        <v/>
      </c>
      <c r="F121" s="15">
        <f>0</f>
        <v>0</v>
      </c>
      <c r="G121" s="24" t="str">
        <f>IF($A121="","",IFERROR(INDEX(Scherpenzeel!$A$107:$A$206,MATCH($A121,Scherpenzeel!$C$107:$C$206,0)),""))</f>
        <v/>
      </c>
      <c r="H121" s="15">
        <f>IF($A121="",0,IFERROR(INDEX(Scherpenzeel!$I$107:$I$206,MATCH($A121,Scherpenzeel!$C$107:$C$206,0)),0))</f>
        <v>0</v>
      </c>
      <c r="I121" s="24" t="str">
        <f>IF($A121="","",IFERROR(INDEX('4'!$A$107:$A$206,MATCH($A121,'4'!$C$107:$C$206,0)),""))</f>
        <v/>
      </c>
      <c r="J121" s="15">
        <f>IF($A121="",0,IFERROR(INDEX('4'!$I$107:$I$206,MATCH($A121,'4'!$C$107:$C$206,0)),0))</f>
        <v>0</v>
      </c>
      <c r="K121" s="24" t="str">
        <f>IF($A121="","",IFERROR(INDEX('5'!$A$107:$A$206,MATCH($A121,'5'!$C$107:$C$206,0)),""))</f>
        <v/>
      </c>
      <c r="L121" s="15">
        <f>IF($A121="",0,IFERROR(INDEX('5'!$I$107:$I$206,MATCH($A121,'5'!$C$107:$C$206,0)),0))</f>
        <v>0</v>
      </c>
      <c r="M121" s="25" t="str">
        <f>IF($A121="","",D121+F121+H121+J121+L121)</f>
        <v/>
      </c>
      <c r="N121" s="26" t="str">
        <f>IF(OR($A121="",M121="",M121=0),"",RANK(M121,$M$4:$M$203,0))</f>
        <v/>
      </c>
      <c r="AA121" t="str">
        <f>Scherpenzeel!C127</f>
        <v>Niels de Graaff</v>
      </c>
      <c r="AB121">
        <f>IF(AA121="",0,IF(COUNTIF($AA$1:AA121,AA121)=1,1,0))</f>
        <v>1</v>
      </c>
      <c r="AC121">
        <f>IF(AB121=1,COUNTIF($AB$1:AB121,1),"")</f>
        <v>46</v>
      </c>
    </row>
    <row r="122" spans="1:29" x14ac:dyDescent="0.25">
      <c r="A122" s="13" t="str">
        <f>IFERROR(INDEX($AA$1:$AA$400,MATCH(119,$AC$1:$AC$400,0)),"")</f>
        <v/>
      </c>
      <c r="B122" s="13" t="str">
        <f>IF($A122="","",IF(IFERROR(INDEX(Barneveld!$E$40:$E$139,MATCH($A122,Barneveld!$C$40:$C$139,0)),"")&lt;&gt;"",IFERROR(INDEX(Barneveld!$E$40:$E$139,MATCH($A122,Barneveld!$C$40:$C$139,0)),""),IF(IFERROR(INDEX(Scherpenzeel!$F$107:$F$206,MATCH($A122,Scherpenzeel!$C$107:$C$206,0)),"")&lt;&gt;"",IFERROR(INDEX(Scherpenzeel!$F$107:$F$206,MATCH($A122,Scherpenzeel!$C$107:$C$206,0)),""),IF(IFERROR(INDEX('4'!$F$107:$F$206,MATCH($A122,'4'!$C$107:$C$206,0)),"")&lt;&gt;"",IFERROR(INDEX('4'!$F$107:$F$206,MATCH($A122,'4'!$C$107:$C$206,0)),""),IFERROR(INDEX('5'!$F$107:$F$206,MATCH($A122,'5'!$C$107:$C$206,0)),"")))))</f>
        <v/>
      </c>
      <c r="C122" s="24" t="str">
        <f>IF($A122="","",IFERROR(INDEX(Barneveld!$A$40:$A$139,MATCH($A122,Barneveld!$C$40:$C$139,0)),""))</f>
        <v/>
      </c>
      <c r="D122" s="15">
        <f>IF($A122="",0,IFERROR(INDEX(Barneveld!$H$40:$H$139,MATCH($A122,Barneveld!$C$40:$C$139,0)),0))</f>
        <v>0</v>
      </c>
      <c r="E122" s="24" t="str">
        <f>""</f>
        <v/>
      </c>
      <c r="F122" s="15">
        <f>0</f>
        <v>0</v>
      </c>
      <c r="G122" s="24" t="str">
        <f>IF($A122="","",IFERROR(INDEX(Scherpenzeel!$A$107:$A$206,MATCH($A122,Scherpenzeel!$C$107:$C$206,0)),""))</f>
        <v/>
      </c>
      <c r="H122" s="15">
        <f>IF($A122="",0,IFERROR(INDEX(Scherpenzeel!$I$107:$I$206,MATCH($A122,Scherpenzeel!$C$107:$C$206,0)),0))</f>
        <v>0</v>
      </c>
      <c r="I122" s="24" t="str">
        <f>IF($A122="","",IFERROR(INDEX('4'!$A$107:$A$206,MATCH($A122,'4'!$C$107:$C$206,0)),""))</f>
        <v/>
      </c>
      <c r="J122" s="15">
        <f>IF($A122="",0,IFERROR(INDEX('4'!$I$107:$I$206,MATCH($A122,'4'!$C$107:$C$206,0)),0))</f>
        <v>0</v>
      </c>
      <c r="K122" s="24" t="str">
        <f>IF($A122="","",IFERROR(INDEX('5'!$A$107:$A$206,MATCH($A122,'5'!$C$107:$C$206,0)),""))</f>
        <v/>
      </c>
      <c r="L122" s="15">
        <f>IF($A122="",0,IFERROR(INDEX('5'!$I$107:$I$206,MATCH($A122,'5'!$C$107:$C$206,0)),0))</f>
        <v>0</v>
      </c>
      <c r="M122" s="25" t="str">
        <f>IF($A122="","",D122+F122+H122+J122+L122)</f>
        <v/>
      </c>
      <c r="N122" s="26" t="str">
        <f>IF(OR($A122="",M122="",M122=0),"",RANK(M122,$M$4:$M$203,0))</f>
        <v/>
      </c>
      <c r="AA122" t="str">
        <f>Scherpenzeel!C128</f>
        <v>Aron Vink</v>
      </c>
      <c r="AB122">
        <f>IF(AA122="",0,IF(COUNTIF($AA$1:AA122,AA122)=1,1,0))</f>
        <v>1</v>
      </c>
      <c r="AC122">
        <f>IF(AB122=1,COUNTIF($AB$1:AB122,1),"")</f>
        <v>47</v>
      </c>
    </row>
    <row r="123" spans="1:29" x14ac:dyDescent="0.25">
      <c r="A123" s="13" t="str">
        <f>IFERROR(INDEX($AA$1:$AA$400,MATCH(120,$AC$1:$AC$400,0)),"")</f>
        <v/>
      </c>
      <c r="B123" s="13" t="str">
        <f>IF($A123="","",IF(IFERROR(INDEX(Barneveld!$E$40:$E$139,MATCH($A123,Barneveld!$C$40:$C$139,0)),"")&lt;&gt;"",IFERROR(INDEX(Barneveld!$E$40:$E$139,MATCH($A123,Barneveld!$C$40:$C$139,0)),""),IF(IFERROR(INDEX(Scherpenzeel!$F$107:$F$206,MATCH($A123,Scherpenzeel!$C$107:$C$206,0)),"")&lt;&gt;"",IFERROR(INDEX(Scherpenzeel!$F$107:$F$206,MATCH($A123,Scherpenzeel!$C$107:$C$206,0)),""),IF(IFERROR(INDEX('4'!$F$107:$F$206,MATCH($A123,'4'!$C$107:$C$206,0)),"")&lt;&gt;"",IFERROR(INDEX('4'!$F$107:$F$206,MATCH($A123,'4'!$C$107:$C$206,0)),""),IFERROR(INDEX('5'!$F$107:$F$206,MATCH($A123,'5'!$C$107:$C$206,0)),"")))))</f>
        <v/>
      </c>
      <c r="C123" s="24" t="str">
        <f>IF($A123="","",IFERROR(INDEX(Barneveld!$A$40:$A$139,MATCH($A123,Barneveld!$C$40:$C$139,0)),""))</f>
        <v/>
      </c>
      <c r="D123" s="15">
        <f>IF($A123="",0,IFERROR(INDEX(Barneveld!$H$40:$H$139,MATCH($A123,Barneveld!$C$40:$C$139,0)),0))</f>
        <v>0</v>
      </c>
      <c r="E123" s="24" t="str">
        <f>""</f>
        <v/>
      </c>
      <c r="F123" s="15">
        <f>0</f>
        <v>0</v>
      </c>
      <c r="G123" s="24" t="str">
        <f>IF($A123="","",IFERROR(INDEX(Scherpenzeel!$A$107:$A$206,MATCH($A123,Scherpenzeel!$C$107:$C$206,0)),""))</f>
        <v/>
      </c>
      <c r="H123" s="15">
        <f>IF($A123="",0,IFERROR(INDEX(Scherpenzeel!$I$107:$I$206,MATCH($A123,Scherpenzeel!$C$107:$C$206,0)),0))</f>
        <v>0</v>
      </c>
      <c r="I123" s="24" t="str">
        <f>IF($A123="","",IFERROR(INDEX('4'!$A$107:$A$206,MATCH($A123,'4'!$C$107:$C$206,0)),""))</f>
        <v/>
      </c>
      <c r="J123" s="15">
        <f>IF($A123="",0,IFERROR(INDEX('4'!$I$107:$I$206,MATCH($A123,'4'!$C$107:$C$206,0)),0))</f>
        <v>0</v>
      </c>
      <c r="K123" s="24" t="str">
        <f>IF($A123="","",IFERROR(INDEX('5'!$A$107:$A$206,MATCH($A123,'5'!$C$107:$C$206,0)),""))</f>
        <v/>
      </c>
      <c r="L123" s="15">
        <f>IF($A123="",0,IFERROR(INDEX('5'!$I$107:$I$206,MATCH($A123,'5'!$C$107:$C$206,0)),0))</f>
        <v>0</v>
      </c>
      <c r="M123" s="25" t="str">
        <f>IF($A123="","",D123+F123+H123+J123+L123)</f>
        <v/>
      </c>
      <c r="N123" s="26" t="str">
        <f>IF(OR($A123="",M123="",M123=0),"",RANK(M123,$M$4:$M$203,0))</f>
        <v/>
      </c>
      <c r="AA123" t="str">
        <f>Scherpenzeel!C129</f>
        <v>Daniel van der Meulen</v>
      </c>
      <c r="AB123">
        <f>IF(AA123="",0,IF(COUNTIF($AA$1:AA123,AA123)=1,1,0))</f>
        <v>0</v>
      </c>
      <c r="AC123" t="str">
        <f>IF(AB123=1,COUNTIF($AB$1:AB123,1),"")</f>
        <v/>
      </c>
    </row>
    <row r="124" spans="1:29" x14ac:dyDescent="0.25">
      <c r="A124" s="13" t="str">
        <f>IFERROR(INDEX($AA$1:$AA$400,MATCH(121,$AC$1:$AC$400,0)),"")</f>
        <v/>
      </c>
      <c r="B124" s="13" t="str">
        <f>IF($A124="","",IF(IFERROR(INDEX(Barneveld!$E$40:$E$139,MATCH($A124,Barneveld!$C$40:$C$139,0)),"")&lt;&gt;"",IFERROR(INDEX(Barneveld!$E$40:$E$139,MATCH($A124,Barneveld!$C$40:$C$139,0)),""),IF(IFERROR(INDEX(Scherpenzeel!$F$107:$F$206,MATCH($A124,Scherpenzeel!$C$107:$C$206,0)),"")&lt;&gt;"",IFERROR(INDEX(Scherpenzeel!$F$107:$F$206,MATCH($A124,Scherpenzeel!$C$107:$C$206,0)),""),IF(IFERROR(INDEX('4'!$F$107:$F$206,MATCH($A124,'4'!$C$107:$C$206,0)),"")&lt;&gt;"",IFERROR(INDEX('4'!$F$107:$F$206,MATCH($A124,'4'!$C$107:$C$206,0)),""),IFERROR(INDEX('5'!$F$107:$F$206,MATCH($A124,'5'!$C$107:$C$206,0)),"")))))</f>
        <v/>
      </c>
      <c r="C124" s="24" t="str">
        <f>IF($A124="","",IFERROR(INDEX(Barneveld!$A$40:$A$139,MATCH($A124,Barneveld!$C$40:$C$139,0)),""))</f>
        <v/>
      </c>
      <c r="D124" s="15">
        <f>IF($A124="",0,IFERROR(INDEX(Barneveld!$H$40:$H$139,MATCH($A124,Barneveld!$C$40:$C$139,0)),0))</f>
        <v>0</v>
      </c>
      <c r="E124" s="24" t="str">
        <f>""</f>
        <v/>
      </c>
      <c r="F124" s="15">
        <f>0</f>
        <v>0</v>
      </c>
      <c r="G124" s="24" t="str">
        <f>IF($A124="","",IFERROR(INDEX(Scherpenzeel!$A$107:$A$206,MATCH($A124,Scherpenzeel!$C$107:$C$206,0)),""))</f>
        <v/>
      </c>
      <c r="H124" s="15">
        <f>IF($A124="",0,IFERROR(INDEX(Scherpenzeel!$I$107:$I$206,MATCH($A124,Scherpenzeel!$C$107:$C$206,0)),0))</f>
        <v>0</v>
      </c>
      <c r="I124" s="24" t="str">
        <f>IF($A124="","",IFERROR(INDEX('4'!$A$107:$A$206,MATCH($A124,'4'!$C$107:$C$206,0)),""))</f>
        <v/>
      </c>
      <c r="J124" s="15">
        <f>IF($A124="",0,IFERROR(INDEX('4'!$I$107:$I$206,MATCH($A124,'4'!$C$107:$C$206,0)),0))</f>
        <v>0</v>
      </c>
      <c r="K124" s="24" t="str">
        <f>IF($A124="","",IFERROR(INDEX('5'!$A$107:$A$206,MATCH($A124,'5'!$C$107:$C$206,0)),""))</f>
        <v/>
      </c>
      <c r="L124" s="15">
        <f>IF($A124="",0,IFERROR(INDEX('5'!$I$107:$I$206,MATCH($A124,'5'!$C$107:$C$206,0)),0))</f>
        <v>0</v>
      </c>
      <c r="M124" s="25" t="str">
        <f>IF($A124="","",D124+F124+H124+J124+L124)</f>
        <v/>
      </c>
      <c r="N124" s="26" t="str">
        <f>IF(OR($A124="",M124="",M124=0),"",RANK(M124,$M$4:$M$203,0))</f>
        <v/>
      </c>
      <c r="AA124" t="str">
        <f>Scherpenzeel!C130</f>
        <v>Ralph Valkonet</v>
      </c>
      <c r="AB124">
        <f>IF(AA124="",0,IF(COUNTIF($AA$1:AA124,AA124)=1,1,0))</f>
        <v>1</v>
      </c>
      <c r="AC124">
        <f>IF(AB124=1,COUNTIF($AB$1:AB124,1),"")</f>
        <v>48</v>
      </c>
    </row>
    <row r="125" spans="1:29" x14ac:dyDescent="0.25">
      <c r="A125" s="13" t="str">
        <f>IFERROR(INDEX($AA$1:$AA$400,MATCH(122,$AC$1:$AC$400,0)),"")</f>
        <v/>
      </c>
      <c r="B125" s="13" t="str">
        <f>IF($A125="","",IF(IFERROR(INDEX(Barneveld!$E$40:$E$139,MATCH($A125,Barneveld!$C$40:$C$139,0)),"")&lt;&gt;"",IFERROR(INDEX(Barneveld!$E$40:$E$139,MATCH($A125,Barneveld!$C$40:$C$139,0)),""),IF(IFERROR(INDEX(Scherpenzeel!$F$107:$F$206,MATCH($A125,Scherpenzeel!$C$107:$C$206,0)),"")&lt;&gt;"",IFERROR(INDEX(Scherpenzeel!$F$107:$F$206,MATCH($A125,Scherpenzeel!$C$107:$C$206,0)),""),IF(IFERROR(INDEX('4'!$F$107:$F$206,MATCH($A125,'4'!$C$107:$C$206,0)),"")&lt;&gt;"",IFERROR(INDEX('4'!$F$107:$F$206,MATCH($A125,'4'!$C$107:$C$206,0)),""),IFERROR(INDEX('5'!$F$107:$F$206,MATCH($A125,'5'!$C$107:$C$206,0)),"")))))</f>
        <v/>
      </c>
      <c r="C125" s="24" t="str">
        <f>IF($A125="","",IFERROR(INDEX(Barneveld!$A$40:$A$139,MATCH($A125,Barneveld!$C$40:$C$139,0)),""))</f>
        <v/>
      </c>
      <c r="D125" s="15">
        <f>IF($A125="",0,IFERROR(INDEX(Barneveld!$H$40:$H$139,MATCH($A125,Barneveld!$C$40:$C$139,0)),0))</f>
        <v>0</v>
      </c>
      <c r="E125" s="24" t="str">
        <f>""</f>
        <v/>
      </c>
      <c r="F125" s="15">
        <f>0</f>
        <v>0</v>
      </c>
      <c r="G125" s="24" t="str">
        <f>IF($A125="","",IFERROR(INDEX(Scherpenzeel!$A$107:$A$206,MATCH($A125,Scherpenzeel!$C$107:$C$206,0)),""))</f>
        <v/>
      </c>
      <c r="H125" s="15">
        <f>IF($A125="",0,IFERROR(INDEX(Scherpenzeel!$I$107:$I$206,MATCH($A125,Scherpenzeel!$C$107:$C$206,0)),0))</f>
        <v>0</v>
      </c>
      <c r="I125" s="24" t="str">
        <f>IF($A125="","",IFERROR(INDEX('4'!$A$107:$A$206,MATCH($A125,'4'!$C$107:$C$206,0)),""))</f>
        <v/>
      </c>
      <c r="J125" s="15">
        <f>IF($A125="",0,IFERROR(INDEX('4'!$I$107:$I$206,MATCH($A125,'4'!$C$107:$C$206,0)),0))</f>
        <v>0</v>
      </c>
      <c r="K125" s="24" t="str">
        <f>IF($A125="","",IFERROR(INDEX('5'!$A$107:$A$206,MATCH($A125,'5'!$C$107:$C$206,0)),""))</f>
        <v/>
      </c>
      <c r="L125" s="15">
        <f>IF($A125="",0,IFERROR(INDEX('5'!$I$107:$I$206,MATCH($A125,'5'!$C$107:$C$206,0)),0))</f>
        <v>0</v>
      </c>
      <c r="M125" s="25" t="str">
        <f>IF($A125="","",D125+F125+H125+J125+L125)</f>
        <v/>
      </c>
      <c r="N125" s="26" t="str">
        <f>IF(OR($A125="",M125="",M125=0),"",RANK(M125,$M$4:$M$203,0))</f>
        <v/>
      </c>
      <c r="AA125">
        <f>Scherpenzeel!C131</f>
        <v>0</v>
      </c>
      <c r="AB125">
        <f>IF(AA125="",0,IF(COUNTIF($AA$1:AA125,AA125)=1,1,0))</f>
        <v>0</v>
      </c>
      <c r="AC125" t="str">
        <f>IF(AB125=1,COUNTIF($AB$1:AB125,1),"")</f>
        <v/>
      </c>
    </row>
    <row r="126" spans="1:29" x14ac:dyDescent="0.25">
      <c r="A126" s="13" t="str">
        <f>IFERROR(INDEX($AA$1:$AA$400,MATCH(123,$AC$1:$AC$400,0)),"")</f>
        <v/>
      </c>
      <c r="B126" s="13" t="str">
        <f>IF($A126="","",IF(IFERROR(INDEX(Barneveld!$E$40:$E$139,MATCH($A126,Barneveld!$C$40:$C$139,0)),"")&lt;&gt;"",IFERROR(INDEX(Barneveld!$E$40:$E$139,MATCH($A126,Barneveld!$C$40:$C$139,0)),""),IF(IFERROR(INDEX(Scherpenzeel!$F$107:$F$206,MATCH($A126,Scherpenzeel!$C$107:$C$206,0)),"")&lt;&gt;"",IFERROR(INDEX(Scherpenzeel!$F$107:$F$206,MATCH($A126,Scherpenzeel!$C$107:$C$206,0)),""),IF(IFERROR(INDEX('4'!$F$107:$F$206,MATCH($A126,'4'!$C$107:$C$206,0)),"")&lt;&gt;"",IFERROR(INDEX('4'!$F$107:$F$206,MATCH($A126,'4'!$C$107:$C$206,0)),""),IFERROR(INDEX('5'!$F$107:$F$206,MATCH($A126,'5'!$C$107:$C$206,0)),"")))))</f>
        <v/>
      </c>
      <c r="C126" s="24" t="str">
        <f>IF($A126="","",IFERROR(INDEX(Barneveld!$A$40:$A$139,MATCH($A126,Barneveld!$C$40:$C$139,0)),""))</f>
        <v/>
      </c>
      <c r="D126" s="15">
        <f>IF($A126="",0,IFERROR(INDEX(Barneveld!$H$40:$H$139,MATCH($A126,Barneveld!$C$40:$C$139,0)),0))</f>
        <v>0</v>
      </c>
      <c r="E126" s="24" t="str">
        <f>""</f>
        <v/>
      </c>
      <c r="F126" s="15">
        <f>0</f>
        <v>0</v>
      </c>
      <c r="G126" s="24" t="str">
        <f>IF($A126="","",IFERROR(INDEX(Scherpenzeel!$A$107:$A$206,MATCH($A126,Scherpenzeel!$C$107:$C$206,0)),""))</f>
        <v/>
      </c>
      <c r="H126" s="15">
        <f>IF($A126="",0,IFERROR(INDEX(Scherpenzeel!$I$107:$I$206,MATCH($A126,Scherpenzeel!$C$107:$C$206,0)),0))</f>
        <v>0</v>
      </c>
      <c r="I126" s="24" t="str">
        <f>IF($A126="","",IFERROR(INDEX('4'!$A$107:$A$206,MATCH($A126,'4'!$C$107:$C$206,0)),""))</f>
        <v/>
      </c>
      <c r="J126" s="15">
        <f>IF($A126="",0,IFERROR(INDEX('4'!$I$107:$I$206,MATCH($A126,'4'!$C$107:$C$206,0)),0))</f>
        <v>0</v>
      </c>
      <c r="K126" s="24" t="str">
        <f>IF($A126="","",IFERROR(INDEX('5'!$A$107:$A$206,MATCH($A126,'5'!$C$107:$C$206,0)),""))</f>
        <v/>
      </c>
      <c r="L126" s="15">
        <f>IF($A126="",0,IFERROR(INDEX('5'!$I$107:$I$206,MATCH($A126,'5'!$C$107:$C$206,0)),0))</f>
        <v>0</v>
      </c>
      <c r="M126" s="25" t="str">
        <f>IF($A126="","",D126+F126+H126+J126+L126)</f>
        <v/>
      </c>
      <c r="N126" s="26" t="str">
        <f>IF(OR($A126="",M126="",M126=0),"",RANK(M126,$M$4:$M$203,0))</f>
        <v/>
      </c>
      <c r="AA126">
        <f>Scherpenzeel!C132</f>
        <v>0</v>
      </c>
      <c r="AB126">
        <f>IF(AA126="",0,IF(COUNTIF($AA$1:AA126,AA126)=1,1,0))</f>
        <v>0</v>
      </c>
      <c r="AC126" t="str">
        <f>IF(AB126=1,COUNTIF($AB$1:AB126,1),"")</f>
        <v/>
      </c>
    </row>
    <row r="127" spans="1:29" x14ac:dyDescent="0.25">
      <c r="A127" s="13" t="str">
        <f>IFERROR(INDEX($AA$1:$AA$400,MATCH(124,$AC$1:$AC$400,0)),"")</f>
        <v/>
      </c>
      <c r="B127" s="13" t="str">
        <f>IF($A127="","",IF(IFERROR(INDEX(Barneveld!$E$40:$E$139,MATCH($A127,Barneveld!$C$40:$C$139,0)),"")&lt;&gt;"",IFERROR(INDEX(Barneveld!$E$40:$E$139,MATCH($A127,Barneveld!$C$40:$C$139,0)),""),IF(IFERROR(INDEX(Scherpenzeel!$F$107:$F$206,MATCH($A127,Scherpenzeel!$C$107:$C$206,0)),"")&lt;&gt;"",IFERROR(INDEX(Scherpenzeel!$F$107:$F$206,MATCH($A127,Scherpenzeel!$C$107:$C$206,0)),""),IF(IFERROR(INDEX('4'!$F$107:$F$206,MATCH($A127,'4'!$C$107:$C$206,0)),"")&lt;&gt;"",IFERROR(INDEX('4'!$F$107:$F$206,MATCH($A127,'4'!$C$107:$C$206,0)),""),IFERROR(INDEX('5'!$F$107:$F$206,MATCH($A127,'5'!$C$107:$C$206,0)),"")))))</f>
        <v/>
      </c>
      <c r="C127" s="24" t="str">
        <f>IF($A127="","",IFERROR(INDEX(Barneveld!$A$40:$A$139,MATCH($A127,Barneveld!$C$40:$C$139,0)),""))</f>
        <v/>
      </c>
      <c r="D127" s="15">
        <f>IF($A127="",0,IFERROR(INDEX(Barneveld!$H$40:$H$139,MATCH($A127,Barneveld!$C$40:$C$139,0)),0))</f>
        <v>0</v>
      </c>
      <c r="E127" s="24" t="str">
        <f>""</f>
        <v/>
      </c>
      <c r="F127" s="15">
        <f>0</f>
        <v>0</v>
      </c>
      <c r="G127" s="24" t="str">
        <f>IF($A127="","",IFERROR(INDEX(Scherpenzeel!$A$107:$A$206,MATCH($A127,Scherpenzeel!$C$107:$C$206,0)),""))</f>
        <v/>
      </c>
      <c r="H127" s="15">
        <f>IF($A127="",0,IFERROR(INDEX(Scherpenzeel!$I$107:$I$206,MATCH($A127,Scherpenzeel!$C$107:$C$206,0)),0))</f>
        <v>0</v>
      </c>
      <c r="I127" s="24" t="str">
        <f>IF($A127="","",IFERROR(INDEX('4'!$A$107:$A$206,MATCH($A127,'4'!$C$107:$C$206,0)),""))</f>
        <v/>
      </c>
      <c r="J127" s="15">
        <f>IF($A127="",0,IFERROR(INDEX('4'!$I$107:$I$206,MATCH($A127,'4'!$C$107:$C$206,0)),0))</f>
        <v>0</v>
      </c>
      <c r="K127" s="24" t="str">
        <f>IF($A127="","",IFERROR(INDEX('5'!$A$107:$A$206,MATCH($A127,'5'!$C$107:$C$206,0)),""))</f>
        <v/>
      </c>
      <c r="L127" s="15">
        <f>IF($A127="",0,IFERROR(INDEX('5'!$I$107:$I$206,MATCH($A127,'5'!$C$107:$C$206,0)),0))</f>
        <v>0</v>
      </c>
      <c r="M127" s="25" t="str">
        <f>IF($A127="","",D127+F127+H127+J127+L127)</f>
        <v/>
      </c>
      <c r="N127" s="26" t="str">
        <f>IF(OR($A127="",M127="",M127=0),"",RANK(M127,$M$4:$M$203,0))</f>
        <v/>
      </c>
      <c r="AA127">
        <f>Scherpenzeel!C133</f>
        <v>0</v>
      </c>
      <c r="AB127">
        <f>IF(AA127="",0,IF(COUNTIF($AA$1:AA127,AA127)=1,1,0))</f>
        <v>0</v>
      </c>
      <c r="AC127" t="str">
        <f>IF(AB127=1,COUNTIF($AB$1:AB127,1),"")</f>
        <v/>
      </c>
    </row>
    <row r="128" spans="1:29" x14ac:dyDescent="0.25">
      <c r="A128" s="13" t="str">
        <f>IFERROR(INDEX($AA$1:$AA$400,MATCH(125,$AC$1:$AC$400,0)),"")</f>
        <v/>
      </c>
      <c r="B128" s="13" t="str">
        <f>IF($A128="","",IF(IFERROR(INDEX(Barneveld!$E$40:$E$139,MATCH($A128,Barneveld!$C$40:$C$139,0)),"")&lt;&gt;"",IFERROR(INDEX(Barneveld!$E$40:$E$139,MATCH($A128,Barneveld!$C$40:$C$139,0)),""),IF(IFERROR(INDEX(Scherpenzeel!$F$107:$F$206,MATCH($A128,Scherpenzeel!$C$107:$C$206,0)),"")&lt;&gt;"",IFERROR(INDEX(Scherpenzeel!$F$107:$F$206,MATCH($A128,Scherpenzeel!$C$107:$C$206,0)),""),IF(IFERROR(INDEX('4'!$F$107:$F$206,MATCH($A128,'4'!$C$107:$C$206,0)),"")&lt;&gt;"",IFERROR(INDEX('4'!$F$107:$F$206,MATCH($A128,'4'!$C$107:$C$206,0)),""),IFERROR(INDEX('5'!$F$107:$F$206,MATCH($A128,'5'!$C$107:$C$206,0)),"")))))</f>
        <v/>
      </c>
      <c r="C128" s="24" t="str">
        <f>IF($A128="","",IFERROR(INDEX(Barneveld!$A$40:$A$139,MATCH($A128,Barneveld!$C$40:$C$139,0)),""))</f>
        <v/>
      </c>
      <c r="D128" s="15">
        <f>IF($A128="",0,IFERROR(INDEX(Barneveld!$H$40:$H$139,MATCH($A128,Barneveld!$C$40:$C$139,0)),0))</f>
        <v>0</v>
      </c>
      <c r="E128" s="24" t="str">
        <f>""</f>
        <v/>
      </c>
      <c r="F128" s="15">
        <f>0</f>
        <v>0</v>
      </c>
      <c r="G128" s="24" t="str">
        <f>IF($A128="","",IFERROR(INDEX(Scherpenzeel!$A$107:$A$206,MATCH($A128,Scherpenzeel!$C$107:$C$206,0)),""))</f>
        <v/>
      </c>
      <c r="H128" s="15">
        <f>IF($A128="",0,IFERROR(INDEX(Scherpenzeel!$I$107:$I$206,MATCH($A128,Scherpenzeel!$C$107:$C$206,0)),0))</f>
        <v>0</v>
      </c>
      <c r="I128" s="24" t="str">
        <f>IF($A128="","",IFERROR(INDEX('4'!$A$107:$A$206,MATCH($A128,'4'!$C$107:$C$206,0)),""))</f>
        <v/>
      </c>
      <c r="J128" s="15">
        <f>IF($A128="",0,IFERROR(INDEX('4'!$I$107:$I$206,MATCH($A128,'4'!$C$107:$C$206,0)),0))</f>
        <v>0</v>
      </c>
      <c r="K128" s="24" t="str">
        <f>IF($A128="","",IFERROR(INDEX('5'!$A$107:$A$206,MATCH($A128,'5'!$C$107:$C$206,0)),""))</f>
        <v/>
      </c>
      <c r="L128" s="15">
        <f>IF($A128="",0,IFERROR(INDEX('5'!$I$107:$I$206,MATCH($A128,'5'!$C$107:$C$206,0)),0))</f>
        <v>0</v>
      </c>
      <c r="M128" s="25" t="str">
        <f>IF($A128="","",D128+F128+H128+J128+L128)</f>
        <v/>
      </c>
      <c r="N128" s="26" t="str">
        <f>IF(OR($A128="",M128="",M128=0),"",RANK(M128,$M$4:$M$203,0))</f>
        <v/>
      </c>
      <c r="AA128">
        <f>Scherpenzeel!C134</f>
        <v>0</v>
      </c>
      <c r="AB128">
        <f>IF(AA128="",0,IF(COUNTIF($AA$1:AA128,AA128)=1,1,0))</f>
        <v>0</v>
      </c>
      <c r="AC128" t="str">
        <f>IF(AB128=1,COUNTIF($AB$1:AB128,1),"")</f>
        <v/>
      </c>
    </row>
    <row r="129" spans="1:29" x14ac:dyDescent="0.25">
      <c r="A129" s="13" t="str">
        <f>IFERROR(INDEX($AA$1:$AA$400,MATCH(126,$AC$1:$AC$400,0)),"")</f>
        <v/>
      </c>
      <c r="B129" s="13" t="str">
        <f>IF($A129="","",IF(IFERROR(INDEX(Barneveld!$E$40:$E$139,MATCH($A129,Barneveld!$C$40:$C$139,0)),"")&lt;&gt;"",IFERROR(INDEX(Barneveld!$E$40:$E$139,MATCH($A129,Barneveld!$C$40:$C$139,0)),""),IF(IFERROR(INDEX(Scherpenzeel!$F$107:$F$206,MATCH($A129,Scherpenzeel!$C$107:$C$206,0)),"")&lt;&gt;"",IFERROR(INDEX(Scherpenzeel!$F$107:$F$206,MATCH($A129,Scherpenzeel!$C$107:$C$206,0)),""),IF(IFERROR(INDEX('4'!$F$107:$F$206,MATCH($A129,'4'!$C$107:$C$206,0)),"")&lt;&gt;"",IFERROR(INDEX('4'!$F$107:$F$206,MATCH($A129,'4'!$C$107:$C$206,0)),""),IFERROR(INDEX('5'!$F$107:$F$206,MATCH($A129,'5'!$C$107:$C$206,0)),"")))))</f>
        <v/>
      </c>
      <c r="C129" s="24" t="str">
        <f>IF($A129="","",IFERROR(INDEX(Barneveld!$A$40:$A$139,MATCH($A129,Barneveld!$C$40:$C$139,0)),""))</f>
        <v/>
      </c>
      <c r="D129" s="15">
        <f>IF($A129="",0,IFERROR(INDEX(Barneveld!$H$40:$H$139,MATCH($A129,Barneveld!$C$40:$C$139,0)),0))</f>
        <v>0</v>
      </c>
      <c r="E129" s="24" t="str">
        <f>""</f>
        <v/>
      </c>
      <c r="F129" s="15">
        <f>0</f>
        <v>0</v>
      </c>
      <c r="G129" s="24" t="str">
        <f>IF($A129="","",IFERROR(INDEX(Scherpenzeel!$A$107:$A$206,MATCH($A129,Scherpenzeel!$C$107:$C$206,0)),""))</f>
        <v/>
      </c>
      <c r="H129" s="15">
        <f>IF($A129="",0,IFERROR(INDEX(Scherpenzeel!$I$107:$I$206,MATCH($A129,Scherpenzeel!$C$107:$C$206,0)),0))</f>
        <v>0</v>
      </c>
      <c r="I129" s="24" t="str">
        <f>IF($A129="","",IFERROR(INDEX('4'!$A$107:$A$206,MATCH($A129,'4'!$C$107:$C$206,0)),""))</f>
        <v/>
      </c>
      <c r="J129" s="15">
        <f>IF($A129="",0,IFERROR(INDEX('4'!$I$107:$I$206,MATCH($A129,'4'!$C$107:$C$206,0)),0))</f>
        <v>0</v>
      </c>
      <c r="K129" s="24" t="str">
        <f>IF($A129="","",IFERROR(INDEX('5'!$A$107:$A$206,MATCH($A129,'5'!$C$107:$C$206,0)),""))</f>
        <v/>
      </c>
      <c r="L129" s="15">
        <f>IF($A129="",0,IFERROR(INDEX('5'!$I$107:$I$206,MATCH($A129,'5'!$C$107:$C$206,0)),0))</f>
        <v>0</v>
      </c>
      <c r="M129" s="25" t="str">
        <f>IF($A129="","",D129+F129+H129+J129+L129)</f>
        <v/>
      </c>
      <c r="N129" s="26" t="str">
        <f>IF(OR($A129="",M129="",M129=0),"",RANK(M129,$M$4:$M$203,0))</f>
        <v/>
      </c>
      <c r="AA129">
        <f>Scherpenzeel!C135</f>
        <v>0</v>
      </c>
      <c r="AB129">
        <f>IF(AA129="",0,IF(COUNTIF($AA$1:AA129,AA129)=1,1,0))</f>
        <v>0</v>
      </c>
      <c r="AC129" t="str">
        <f>IF(AB129=1,COUNTIF($AB$1:AB129,1),"")</f>
        <v/>
      </c>
    </row>
    <row r="130" spans="1:29" x14ac:dyDescent="0.25">
      <c r="A130" s="13" t="str">
        <f>IFERROR(INDEX($AA$1:$AA$400,MATCH(127,$AC$1:$AC$400,0)),"")</f>
        <v/>
      </c>
      <c r="B130" s="13" t="str">
        <f>IF($A130="","",IF(IFERROR(INDEX(Barneveld!$E$40:$E$139,MATCH($A130,Barneveld!$C$40:$C$139,0)),"")&lt;&gt;"",IFERROR(INDEX(Barneveld!$E$40:$E$139,MATCH($A130,Barneveld!$C$40:$C$139,0)),""),IF(IFERROR(INDEX(Scherpenzeel!$F$107:$F$206,MATCH($A130,Scherpenzeel!$C$107:$C$206,0)),"")&lt;&gt;"",IFERROR(INDEX(Scherpenzeel!$F$107:$F$206,MATCH($A130,Scherpenzeel!$C$107:$C$206,0)),""),IF(IFERROR(INDEX('4'!$F$107:$F$206,MATCH($A130,'4'!$C$107:$C$206,0)),"")&lt;&gt;"",IFERROR(INDEX('4'!$F$107:$F$206,MATCH($A130,'4'!$C$107:$C$206,0)),""),IFERROR(INDEX('5'!$F$107:$F$206,MATCH($A130,'5'!$C$107:$C$206,0)),"")))))</f>
        <v/>
      </c>
      <c r="C130" s="24" t="str">
        <f>IF($A130="","",IFERROR(INDEX(Barneveld!$A$40:$A$139,MATCH($A130,Barneveld!$C$40:$C$139,0)),""))</f>
        <v/>
      </c>
      <c r="D130" s="15">
        <f>IF($A130="",0,IFERROR(INDEX(Barneveld!$H$40:$H$139,MATCH($A130,Barneveld!$C$40:$C$139,0)),0))</f>
        <v>0</v>
      </c>
      <c r="E130" s="24" t="str">
        <f>""</f>
        <v/>
      </c>
      <c r="F130" s="15">
        <f>0</f>
        <v>0</v>
      </c>
      <c r="G130" s="24" t="str">
        <f>IF($A130="","",IFERROR(INDEX(Scherpenzeel!$A$107:$A$206,MATCH($A130,Scherpenzeel!$C$107:$C$206,0)),""))</f>
        <v/>
      </c>
      <c r="H130" s="15">
        <f>IF($A130="",0,IFERROR(INDEX(Scherpenzeel!$I$107:$I$206,MATCH($A130,Scherpenzeel!$C$107:$C$206,0)),0))</f>
        <v>0</v>
      </c>
      <c r="I130" s="24" t="str">
        <f>IF($A130="","",IFERROR(INDEX('4'!$A$107:$A$206,MATCH($A130,'4'!$C$107:$C$206,0)),""))</f>
        <v/>
      </c>
      <c r="J130" s="15">
        <f>IF($A130="",0,IFERROR(INDEX('4'!$I$107:$I$206,MATCH($A130,'4'!$C$107:$C$206,0)),0))</f>
        <v>0</v>
      </c>
      <c r="K130" s="24" t="str">
        <f>IF($A130="","",IFERROR(INDEX('5'!$A$107:$A$206,MATCH($A130,'5'!$C$107:$C$206,0)),""))</f>
        <v/>
      </c>
      <c r="L130" s="15">
        <f>IF($A130="",0,IFERROR(INDEX('5'!$I$107:$I$206,MATCH($A130,'5'!$C$107:$C$206,0)),0))</f>
        <v>0</v>
      </c>
      <c r="M130" s="25" t="str">
        <f>IF($A130="","",D130+F130+H130+J130+L130)</f>
        <v/>
      </c>
      <c r="N130" s="26" t="str">
        <f>IF(OR($A130="",M130="",M130=0),"",RANK(M130,$M$4:$M$203,0))</f>
        <v/>
      </c>
      <c r="AA130">
        <f>Scherpenzeel!C136</f>
        <v>0</v>
      </c>
      <c r="AB130">
        <f>IF(AA130="",0,IF(COUNTIF($AA$1:AA130,AA130)=1,1,0))</f>
        <v>0</v>
      </c>
      <c r="AC130" t="str">
        <f>IF(AB130=1,COUNTIF($AB$1:AB130,1),"")</f>
        <v/>
      </c>
    </row>
    <row r="131" spans="1:29" x14ac:dyDescent="0.25">
      <c r="A131" s="13" t="str">
        <f>IFERROR(INDEX($AA$1:$AA$400,MATCH(128,$AC$1:$AC$400,0)),"")</f>
        <v/>
      </c>
      <c r="B131" s="13" t="str">
        <f>IF($A131="","",IF(IFERROR(INDEX(Barneveld!$E$40:$E$139,MATCH($A131,Barneveld!$C$40:$C$139,0)),"")&lt;&gt;"",IFERROR(INDEX(Barneveld!$E$40:$E$139,MATCH($A131,Barneveld!$C$40:$C$139,0)),""),IF(IFERROR(INDEX(Scherpenzeel!$F$107:$F$206,MATCH($A131,Scherpenzeel!$C$107:$C$206,0)),"")&lt;&gt;"",IFERROR(INDEX(Scherpenzeel!$F$107:$F$206,MATCH($A131,Scherpenzeel!$C$107:$C$206,0)),""),IF(IFERROR(INDEX('4'!$F$107:$F$206,MATCH($A131,'4'!$C$107:$C$206,0)),"")&lt;&gt;"",IFERROR(INDEX('4'!$F$107:$F$206,MATCH($A131,'4'!$C$107:$C$206,0)),""),IFERROR(INDEX('5'!$F$107:$F$206,MATCH($A131,'5'!$C$107:$C$206,0)),"")))))</f>
        <v/>
      </c>
      <c r="C131" s="24" t="str">
        <f>IF($A131="","",IFERROR(INDEX(Barneveld!$A$40:$A$139,MATCH($A131,Barneveld!$C$40:$C$139,0)),""))</f>
        <v/>
      </c>
      <c r="D131" s="15">
        <f>IF($A131="",0,IFERROR(INDEX(Barneveld!$H$40:$H$139,MATCH($A131,Barneveld!$C$40:$C$139,0)),0))</f>
        <v>0</v>
      </c>
      <c r="E131" s="24" t="str">
        <f>""</f>
        <v/>
      </c>
      <c r="F131" s="15">
        <f>0</f>
        <v>0</v>
      </c>
      <c r="G131" s="24" t="str">
        <f>IF($A131="","",IFERROR(INDEX(Scherpenzeel!$A$107:$A$206,MATCH($A131,Scherpenzeel!$C$107:$C$206,0)),""))</f>
        <v/>
      </c>
      <c r="H131" s="15">
        <f>IF($A131="",0,IFERROR(INDEX(Scherpenzeel!$I$107:$I$206,MATCH($A131,Scherpenzeel!$C$107:$C$206,0)),0))</f>
        <v>0</v>
      </c>
      <c r="I131" s="24" t="str">
        <f>IF($A131="","",IFERROR(INDEX('4'!$A$107:$A$206,MATCH($A131,'4'!$C$107:$C$206,0)),""))</f>
        <v/>
      </c>
      <c r="J131" s="15">
        <f>IF($A131="",0,IFERROR(INDEX('4'!$I$107:$I$206,MATCH($A131,'4'!$C$107:$C$206,0)),0))</f>
        <v>0</v>
      </c>
      <c r="K131" s="24" t="str">
        <f>IF($A131="","",IFERROR(INDEX('5'!$A$107:$A$206,MATCH($A131,'5'!$C$107:$C$206,0)),""))</f>
        <v/>
      </c>
      <c r="L131" s="15">
        <f>IF($A131="",0,IFERROR(INDEX('5'!$I$107:$I$206,MATCH($A131,'5'!$C$107:$C$206,0)),0))</f>
        <v>0</v>
      </c>
      <c r="M131" s="25" t="str">
        <f>IF($A131="","",D131+F131+H131+J131+L131)</f>
        <v/>
      </c>
      <c r="N131" s="26" t="str">
        <f>IF(OR($A131="",M131="",M131=0),"",RANK(M131,$M$4:$M$203,0))</f>
        <v/>
      </c>
      <c r="AA131">
        <f>Scherpenzeel!C137</f>
        <v>0</v>
      </c>
      <c r="AB131">
        <f>IF(AA131="",0,IF(COUNTIF($AA$1:AA131,AA131)=1,1,0))</f>
        <v>0</v>
      </c>
      <c r="AC131" t="str">
        <f>IF(AB131=1,COUNTIF($AB$1:AB131,1),"")</f>
        <v/>
      </c>
    </row>
    <row r="132" spans="1:29" x14ac:dyDescent="0.25">
      <c r="A132" s="13" t="str">
        <f>IFERROR(INDEX($AA$1:$AA$400,MATCH(129,$AC$1:$AC$400,0)),"")</f>
        <v/>
      </c>
      <c r="B132" s="13" t="str">
        <f>IF($A132="","",IF(IFERROR(INDEX(Barneveld!$E$40:$E$139,MATCH($A132,Barneveld!$C$40:$C$139,0)),"")&lt;&gt;"",IFERROR(INDEX(Barneveld!$E$40:$E$139,MATCH($A132,Barneveld!$C$40:$C$139,0)),""),IF(IFERROR(INDEX(Scherpenzeel!$F$107:$F$206,MATCH($A132,Scherpenzeel!$C$107:$C$206,0)),"")&lt;&gt;"",IFERROR(INDEX(Scherpenzeel!$F$107:$F$206,MATCH($A132,Scherpenzeel!$C$107:$C$206,0)),""),IF(IFERROR(INDEX('4'!$F$107:$F$206,MATCH($A132,'4'!$C$107:$C$206,0)),"")&lt;&gt;"",IFERROR(INDEX('4'!$F$107:$F$206,MATCH($A132,'4'!$C$107:$C$206,0)),""),IFERROR(INDEX('5'!$F$107:$F$206,MATCH($A132,'5'!$C$107:$C$206,0)),"")))))</f>
        <v/>
      </c>
      <c r="C132" s="24" t="str">
        <f>IF($A132="","",IFERROR(INDEX(Barneveld!$A$40:$A$139,MATCH($A132,Barneveld!$C$40:$C$139,0)),""))</f>
        <v/>
      </c>
      <c r="D132" s="15">
        <f>IF($A132="",0,IFERROR(INDEX(Barneveld!$H$40:$H$139,MATCH($A132,Barneveld!$C$40:$C$139,0)),0))</f>
        <v>0</v>
      </c>
      <c r="E132" s="24" t="str">
        <f>""</f>
        <v/>
      </c>
      <c r="F132" s="15">
        <f>0</f>
        <v>0</v>
      </c>
      <c r="G132" s="24" t="str">
        <f>IF($A132="","",IFERROR(INDEX(Scherpenzeel!$A$107:$A$206,MATCH($A132,Scherpenzeel!$C$107:$C$206,0)),""))</f>
        <v/>
      </c>
      <c r="H132" s="15">
        <f>IF($A132="",0,IFERROR(INDEX(Scherpenzeel!$I$107:$I$206,MATCH($A132,Scherpenzeel!$C$107:$C$206,0)),0))</f>
        <v>0</v>
      </c>
      <c r="I132" s="24" t="str">
        <f>IF($A132="","",IFERROR(INDEX('4'!$A$107:$A$206,MATCH($A132,'4'!$C$107:$C$206,0)),""))</f>
        <v/>
      </c>
      <c r="J132" s="15">
        <f>IF($A132="",0,IFERROR(INDEX('4'!$I$107:$I$206,MATCH($A132,'4'!$C$107:$C$206,0)),0))</f>
        <v>0</v>
      </c>
      <c r="K132" s="24" t="str">
        <f>IF($A132="","",IFERROR(INDEX('5'!$A$107:$A$206,MATCH($A132,'5'!$C$107:$C$206,0)),""))</f>
        <v/>
      </c>
      <c r="L132" s="15">
        <f>IF($A132="",0,IFERROR(INDEX('5'!$I$107:$I$206,MATCH($A132,'5'!$C$107:$C$206,0)),0))</f>
        <v>0</v>
      </c>
      <c r="M132" s="25" t="str">
        <f>IF($A132="","",D132+F132+H132+J132+L132)</f>
        <v/>
      </c>
      <c r="N132" s="26" t="str">
        <f>IF(OR($A132="",M132="",M132=0),"",RANK(M132,$M$4:$M$203,0))</f>
        <v/>
      </c>
      <c r="AA132">
        <f>Scherpenzeel!C138</f>
        <v>0</v>
      </c>
      <c r="AB132">
        <f>IF(AA132="",0,IF(COUNTIF($AA$1:AA132,AA132)=1,1,0))</f>
        <v>0</v>
      </c>
      <c r="AC132" t="str">
        <f>IF(AB132=1,COUNTIF($AB$1:AB132,1),"")</f>
        <v/>
      </c>
    </row>
    <row r="133" spans="1:29" x14ac:dyDescent="0.25">
      <c r="A133" s="13" t="str">
        <f>IFERROR(INDEX($AA$1:$AA$400,MATCH(130,$AC$1:$AC$400,0)),"")</f>
        <v/>
      </c>
      <c r="B133" s="13" t="str">
        <f>IF($A133="","",IF(IFERROR(INDEX(Barneveld!$E$40:$E$139,MATCH($A133,Barneveld!$C$40:$C$139,0)),"")&lt;&gt;"",IFERROR(INDEX(Barneveld!$E$40:$E$139,MATCH($A133,Barneveld!$C$40:$C$139,0)),""),IF(IFERROR(INDEX(Scherpenzeel!$F$107:$F$206,MATCH($A133,Scherpenzeel!$C$107:$C$206,0)),"")&lt;&gt;"",IFERROR(INDEX(Scherpenzeel!$F$107:$F$206,MATCH($A133,Scherpenzeel!$C$107:$C$206,0)),""),IF(IFERROR(INDEX('4'!$F$107:$F$206,MATCH($A133,'4'!$C$107:$C$206,0)),"")&lt;&gt;"",IFERROR(INDEX('4'!$F$107:$F$206,MATCH($A133,'4'!$C$107:$C$206,0)),""),IFERROR(INDEX('5'!$F$107:$F$206,MATCH($A133,'5'!$C$107:$C$206,0)),"")))))</f>
        <v/>
      </c>
      <c r="C133" s="24" t="str">
        <f>IF($A133="","",IFERROR(INDEX(Barneveld!$A$40:$A$139,MATCH($A133,Barneveld!$C$40:$C$139,0)),""))</f>
        <v/>
      </c>
      <c r="D133" s="15">
        <f>IF($A133="",0,IFERROR(INDEX(Barneveld!$H$40:$H$139,MATCH($A133,Barneveld!$C$40:$C$139,0)),0))</f>
        <v>0</v>
      </c>
      <c r="E133" s="24" t="str">
        <f>""</f>
        <v/>
      </c>
      <c r="F133" s="15">
        <f>0</f>
        <v>0</v>
      </c>
      <c r="G133" s="24" t="str">
        <f>IF($A133="","",IFERROR(INDEX(Scherpenzeel!$A$107:$A$206,MATCH($A133,Scherpenzeel!$C$107:$C$206,0)),""))</f>
        <v/>
      </c>
      <c r="H133" s="15">
        <f>IF($A133="",0,IFERROR(INDEX(Scherpenzeel!$I$107:$I$206,MATCH($A133,Scherpenzeel!$C$107:$C$206,0)),0))</f>
        <v>0</v>
      </c>
      <c r="I133" s="24" t="str">
        <f>IF($A133="","",IFERROR(INDEX('4'!$A$107:$A$206,MATCH($A133,'4'!$C$107:$C$206,0)),""))</f>
        <v/>
      </c>
      <c r="J133" s="15">
        <f>IF($A133="",0,IFERROR(INDEX('4'!$I$107:$I$206,MATCH($A133,'4'!$C$107:$C$206,0)),0))</f>
        <v>0</v>
      </c>
      <c r="K133" s="24" t="str">
        <f>IF($A133="","",IFERROR(INDEX('5'!$A$107:$A$206,MATCH($A133,'5'!$C$107:$C$206,0)),""))</f>
        <v/>
      </c>
      <c r="L133" s="15">
        <f>IF($A133="",0,IFERROR(INDEX('5'!$I$107:$I$206,MATCH($A133,'5'!$C$107:$C$206,0)),0))</f>
        <v>0</v>
      </c>
      <c r="M133" s="25" t="str">
        <f>IF($A133="","",D133+F133+H133+J133+L133)</f>
        <v/>
      </c>
      <c r="N133" s="26" t="str">
        <f>IF(OR($A133="",M133="",M133=0),"",RANK(M133,$M$4:$M$203,0))</f>
        <v/>
      </c>
      <c r="AA133">
        <f>Scherpenzeel!C139</f>
        <v>0</v>
      </c>
      <c r="AB133">
        <f>IF(AA133="",0,IF(COUNTIF($AA$1:AA133,AA133)=1,1,0))</f>
        <v>0</v>
      </c>
      <c r="AC133" t="str">
        <f>IF(AB133=1,COUNTIF($AB$1:AB133,1),"")</f>
        <v/>
      </c>
    </row>
    <row r="134" spans="1:29" x14ac:dyDescent="0.25">
      <c r="A134" s="13" t="str">
        <f>IFERROR(INDEX($AA$1:$AA$400,MATCH(131,$AC$1:$AC$400,0)),"")</f>
        <v/>
      </c>
      <c r="B134" s="13" t="str">
        <f>IF($A134="","",IF(IFERROR(INDEX(Barneveld!$E$40:$E$139,MATCH($A134,Barneveld!$C$40:$C$139,0)),"")&lt;&gt;"",IFERROR(INDEX(Barneveld!$E$40:$E$139,MATCH($A134,Barneveld!$C$40:$C$139,0)),""),IF(IFERROR(INDEX(Scherpenzeel!$F$107:$F$206,MATCH($A134,Scherpenzeel!$C$107:$C$206,0)),"")&lt;&gt;"",IFERROR(INDEX(Scherpenzeel!$F$107:$F$206,MATCH($A134,Scherpenzeel!$C$107:$C$206,0)),""),IF(IFERROR(INDEX('4'!$F$107:$F$206,MATCH($A134,'4'!$C$107:$C$206,0)),"")&lt;&gt;"",IFERROR(INDEX('4'!$F$107:$F$206,MATCH($A134,'4'!$C$107:$C$206,0)),""),IFERROR(INDEX('5'!$F$107:$F$206,MATCH($A134,'5'!$C$107:$C$206,0)),"")))))</f>
        <v/>
      </c>
      <c r="C134" s="24" t="str">
        <f>IF($A134="","",IFERROR(INDEX(Barneveld!$A$40:$A$139,MATCH($A134,Barneveld!$C$40:$C$139,0)),""))</f>
        <v/>
      </c>
      <c r="D134" s="15">
        <f>IF($A134="",0,IFERROR(INDEX(Barneveld!$H$40:$H$139,MATCH($A134,Barneveld!$C$40:$C$139,0)),0))</f>
        <v>0</v>
      </c>
      <c r="E134" s="24" t="str">
        <f>""</f>
        <v/>
      </c>
      <c r="F134" s="15">
        <f>0</f>
        <v>0</v>
      </c>
      <c r="G134" s="24" t="str">
        <f>IF($A134="","",IFERROR(INDEX(Scherpenzeel!$A$107:$A$206,MATCH($A134,Scherpenzeel!$C$107:$C$206,0)),""))</f>
        <v/>
      </c>
      <c r="H134" s="15">
        <f>IF($A134="",0,IFERROR(INDEX(Scherpenzeel!$I$107:$I$206,MATCH($A134,Scherpenzeel!$C$107:$C$206,0)),0))</f>
        <v>0</v>
      </c>
      <c r="I134" s="24" t="str">
        <f>IF($A134="","",IFERROR(INDEX('4'!$A$107:$A$206,MATCH($A134,'4'!$C$107:$C$206,0)),""))</f>
        <v/>
      </c>
      <c r="J134" s="15">
        <f>IF($A134="",0,IFERROR(INDEX('4'!$I$107:$I$206,MATCH($A134,'4'!$C$107:$C$206,0)),0))</f>
        <v>0</v>
      </c>
      <c r="K134" s="24" t="str">
        <f>IF($A134="","",IFERROR(INDEX('5'!$A$107:$A$206,MATCH($A134,'5'!$C$107:$C$206,0)),""))</f>
        <v/>
      </c>
      <c r="L134" s="15">
        <f>IF($A134="",0,IFERROR(INDEX('5'!$I$107:$I$206,MATCH($A134,'5'!$C$107:$C$206,0)),0))</f>
        <v>0</v>
      </c>
      <c r="M134" s="25" t="str">
        <f>IF($A134="","",D134+F134+H134+J134+L134)</f>
        <v/>
      </c>
      <c r="N134" s="26" t="str">
        <f>IF(OR($A134="",M134="",M134=0),"",RANK(M134,$M$4:$M$203,0))</f>
        <v/>
      </c>
      <c r="AA134">
        <f>Scherpenzeel!C140</f>
        <v>0</v>
      </c>
      <c r="AB134">
        <f>IF(AA134="",0,IF(COUNTIF($AA$1:AA134,AA134)=1,1,0))</f>
        <v>0</v>
      </c>
      <c r="AC134" t="str">
        <f>IF(AB134=1,COUNTIF($AB$1:AB134,1),"")</f>
        <v/>
      </c>
    </row>
    <row r="135" spans="1:29" x14ac:dyDescent="0.25">
      <c r="A135" s="13" t="str">
        <f>IFERROR(INDEX($AA$1:$AA$400,MATCH(132,$AC$1:$AC$400,0)),"")</f>
        <v/>
      </c>
      <c r="B135" s="13" t="str">
        <f>IF($A135="","",IF(IFERROR(INDEX(Barneveld!$E$40:$E$139,MATCH($A135,Barneveld!$C$40:$C$139,0)),"")&lt;&gt;"",IFERROR(INDEX(Barneveld!$E$40:$E$139,MATCH($A135,Barneveld!$C$40:$C$139,0)),""),IF(IFERROR(INDEX(Scherpenzeel!$F$107:$F$206,MATCH($A135,Scherpenzeel!$C$107:$C$206,0)),"")&lt;&gt;"",IFERROR(INDEX(Scherpenzeel!$F$107:$F$206,MATCH($A135,Scherpenzeel!$C$107:$C$206,0)),""),IF(IFERROR(INDEX('4'!$F$107:$F$206,MATCH($A135,'4'!$C$107:$C$206,0)),"")&lt;&gt;"",IFERROR(INDEX('4'!$F$107:$F$206,MATCH($A135,'4'!$C$107:$C$206,0)),""),IFERROR(INDEX('5'!$F$107:$F$206,MATCH($A135,'5'!$C$107:$C$206,0)),"")))))</f>
        <v/>
      </c>
      <c r="C135" s="24" t="str">
        <f>IF($A135="","",IFERROR(INDEX(Barneveld!$A$40:$A$139,MATCH($A135,Barneveld!$C$40:$C$139,0)),""))</f>
        <v/>
      </c>
      <c r="D135" s="15">
        <f>IF($A135="",0,IFERROR(INDEX(Barneveld!$H$40:$H$139,MATCH($A135,Barneveld!$C$40:$C$139,0)),0))</f>
        <v>0</v>
      </c>
      <c r="E135" s="24" t="str">
        <f>""</f>
        <v/>
      </c>
      <c r="F135" s="15">
        <f>0</f>
        <v>0</v>
      </c>
      <c r="G135" s="24" t="str">
        <f>IF($A135="","",IFERROR(INDEX(Scherpenzeel!$A$107:$A$206,MATCH($A135,Scherpenzeel!$C$107:$C$206,0)),""))</f>
        <v/>
      </c>
      <c r="H135" s="15">
        <f>IF($A135="",0,IFERROR(INDEX(Scherpenzeel!$I$107:$I$206,MATCH($A135,Scherpenzeel!$C$107:$C$206,0)),0))</f>
        <v>0</v>
      </c>
      <c r="I135" s="24" t="str">
        <f>IF($A135="","",IFERROR(INDEX('4'!$A$107:$A$206,MATCH($A135,'4'!$C$107:$C$206,0)),""))</f>
        <v/>
      </c>
      <c r="J135" s="15">
        <f>IF($A135="",0,IFERROR(INDEX('4'!$I$107:$I$206,MATCH($A135,'4'!$C$107:$C$206,0)),0))</f>
        <v>0</v>
      </c>
      <c r="K135" s="24" t="str">
        <f>IF($A135="","",IFERROR(INDEX('5'!$A$107:$A$206,MATCH($A135,'5'!$C$107:$C$206,0)),""))</f>
        <v/>
      </c>
      <c r="L135" s="15">
        <f>IF($A135="",0,IFERROR(INDEX('5'!$I$107:$I$206,MATCH($A135,'5'!$C$107:$C$206,0)),0))</f>
        <v>0</v>
      </c>
      <c r="M135" s="25" t="str">
        <f>IF($A135="","",D135+F135+H135+J135+L135)</f>
        <v/>
      </c>
      <c r="N135" s="26" t="str">
        <f>IF(OR($A135="",M135="",M135=0),"",RANK(M135,$M$4:$M$203,0))</f>
        <v/>
      </c>
      <c r="AA135">
        <f>Scherpenzeel!C141</f>
        <v>0</v>
      </c>
      <c r="AB135">
        <f>IF(AA135="",0,IF(COUNTIF($AA$1:AA135,AA135)=1,1,0))</f>
        <v>0</v>
      </c>
      <c r="AC135" t="str">
        <f>IF(AB135=1,COUNTIF($AB$1:AB135,1),"")</f>
        <v/>
      </c>
    </row>
    <row r="136" spans="1:29" x14ac:dyDescent="0.25">
      <c r="A136" s="13" t="str">
        <f>IFERROR(INDEX($AA$1:$AA$400,MATCH(133,$AC$1:$AC$400,0)),"")</f>
        <v/>
      </c>
      <c r="B136" s="13" t="str">
        <f>IF($A136="","",IF(IFERROR(INDEX(Barneveld!$E$40:$E$139,MATCH($A136,Barneveld!$C$40:$C$139,0)),"")&lt;&gt;"",IFERROR(INDEX(Barneveld!$E$40:$E$139,MATCH($A136,Barneveld!$C$40:$C$139,0)),""),IF(IFERROR(INDEX(Scherpenzeel!$F$107:$F$206,MATCH($A136,Scherpenzeel!$C$107:$C$206,0)),"")&lt;&gt;"",IFERROR(INDEX(Scherpenzeel!$F$107:$F$206,MATCH($A136,Scherpenzeel!$C$107:$C$206,0)),""),IF(IFERROR(INDEX('4'!$F$107:$F$206,MATCH($A136,'4'!$C$107:$C$206,0)),"")&lt;&gt;"",IFERROR(INDEX('4'!$F$107:$F$206,MATCH($A136,'4'!$C$107:$C$206,0)),""),IFERROR(INDEX('5'!$F$107:$F$206,MATCH($A136,'5'!$C$107:$C$206,0)),"")))))</f>
        <v/>
      </c>
      <c r="C136" s="24" t="str">
        <f>IF($A136="","",IFERROR(INDEX(Barneveld!$A$40:$A$139,MATCH($A136,Barneveld!$C$40:$C$139,0)),""))</f>
        <v/>
      </c>
      <c r="D136" s="15">
        <f>IF($A136="",0,IFERROR(INDEX(Barneveld!$H$40:$H$139,MATCH($A136,Barneveld!$C$40:$C$139,0)),0))</f>
        <v>0</v>
      </c>
      <c r="E136" s="24" t="str">
        <f>""</f>
        <v/>
      </c>
      <c r="F136" s="15">
        <f>0</f>
        <v>0</v>
      </c>
      <c r="G136" s="24" t="str">
        <f>IF($A136="","",IFERROR(INDEX(Scherpenzeel!$A$107:$A$206,MATCH($A136,Scherpenzeel!$C$107:$C$206,0)),""))</f>
        <v/>
      </c>
      <c r="H136" s="15">
        <f>IF($A136="",0,IFERROR(INDEX(Scherpenzeel!$I$107:$I$206,MATCH($A136,Scherpenzeel!$C$107:$C$206,0)),0))</f>
        <v>0</v>
      </c>
      <c r="I136" s="24" t="str">
        <f>IF($A136="","",IFERROR(INDEX('4'!$A$107:$A$206,MATCH($A136,'4'!$C$107:$C$206,0)),""))</f>
        <v/>
      </c>
      <c r="J136" s="15">
        <f>IF($A136="",0,IFERROR(INDEX('4'!$I$107:$I$206,MATCH($A136,'4'!$C$107:$C$206,0)),0))</f>
        <v>0</v>
      </c>
      <c r="K136" s="24" t="str">
        <f>IF($A136="","",IFERROR(INDEX('5'!$A$107:$A$206,MATCH($A136,'5'!$C$107:$C$206,0)),""))</f>
        <v/>
      </c>
      <c r="L136" s="15">
        <f>IF($A136="",0,IFERROR(INDEX('5'!$I$107:$I$206,MATCH($A136,'5'!$C$107:$C$206,0)),0))</f>
        <v>0</v>
      </c>
      <c r="M136" s="25" t="str">
        <f>IF($A136="","",D136+F136+H136+J136+L136)</f>
        <v/>
      </c>
      <c r="N136" s="26" t="str">
        <f>IF(OR($A136="",M136="",M136=0),"",RANK(M136,$M$4:$M$203,0))</f>
        <v/>
      </c>
      <c r="AA136">
        <f>Scherpenzeel!C142</f>
        <v>0</v>
      </c>
      <c r="AB136">
        <f>IF(AA136="",0,IF(COUNTIF($AA$1:AA136,AA136)=1,1,0))</f>
        <v>0</v>
      </c>
      <c r="AC136" t="str">
        <f>IF(AB136=1,COUNTIF($AB$1:AB136,1),"")</f>
        <v/>
      </c>
    </row>
    <row r="137" spans="1:29" x14ac:dyDescent="0.25">
      <c r="A137" s="13" t="str">
        <f>IFERROR(INDEX($AA$1:$AA$400,MATCH(134,$AC$1:$AC$400,0)),"")</f>
        <v/>
      </c>
      <c r="B137" s="13" t="str">
        <f>IF($A137="","",IF(IFERROR(INDEX(Barneveld!$E$40:$E$139,MATCH($A137,Barneveld!$C$40:$C$139,0)),"")&lt;&gt;"",IFERROR(INDEX(Barneveld!$E$40:$E$139,MATCH($A137,Barneveld!$C$40:$C$139,0)),""),IF(IFERROR(INDEX(Scherpenzeel!$F$107:$F$206,MATCH($A137,Scherpenzeel!$C$107:$C$206,0)),"")&lt;&gt;"",IFERROR(INDEX(Scherpenzeel!$F$107:$F$206,MATCH($A137,Scherpenzeel!$C$107:$C$206,0)),""),IF(IFERROR(INDEX('4'!$F$107:$F$206,MATCH($A137,'4'!$C$107:$C$206,0)),"")&lt;&gt;"",IFERROR(INDEX('4'!$F$107:$F$206,MATCH($A137,'4'!$C$107:$C$206,0)),""),IFERROR(INDEX('5'!$F$107:$F$206,MATCH($A137,'5'!$C$107:$C$206,0)),"")))))</f>
        <v/>
      </c>
      <c r="C137" s="24" t="str">
        <f>IF($A137="","",IFERROR(INDEX(Barneveld!$A$40:$A$139,MATCH($A137,Barneveld!$C$40:$C$139,0)),""))</f>
        <v/>
      </c>
      <c r="D137" s="15">
        <f>IF($A137="",0,IFERROR(INDEX(Barneveld!$H$40:$H$139,MATCH($A137,Barneveld!$C$40:$C$139,0)),0))</f>
        <v>0</v>
      </c>
      <c r="E137" s="24" t="str">
        <f>""</f>
        <v/>
      </c>
      <c r="F137" s="15">
        <f>0</f>
        <v>0</v>
      </c>
      <c r="G137" s="24" t="str">
        <f>IF($A137="","",IFERROR(INDEX(Scherpenzeel!$A$107:$A$206,MATCH($A137,Scherpenzeel!$C$107:$C$206,0)),""))</f>
        <v/>
      </c>
      <c r="H137" s="15">
        <f>IF($A137="",0,IFERROR(INDEX(Scherpenzeel!$I$107:$I$206,MATCH($A137,Scherpenzeel!$C$107:$C$206,0)),0))</f>
        <v>0</v>
      </c>
      <c r="I137" s="24" t="str">
        <f>IF($A137="","",IFERROR(INDEX('4'!$A$107:$A$206,MATCH($A137,'4'!$C$107:$C$206,0)),""))</f>
        <v/>
      </c>
      <c r="J137" s="15">
        <f>IF($A137="",0,IFERROR(INDEX('4'!$I$107:$I$206,MATCH($A137,'4'!$C$107:$C$206,0)),0))</f>
        <v>0</v>
      </c>
      <c r="K137" s="24" t="str">
        <f>IF($A137="","",IFERROR(INDEX('5'!$A$107:$A$206,MATCH($A137,'5'!$C$107:$C$206,0)),""))</f>
        <v/>
      </c>
      <c r="L137" s="15">
        <f>IF($A137="",0,IFERROR(INDEX('5'!$I$107:$I$206,MATCH($A137,'5'!$C$107:$C$206,0)),0))</f>
        <v>0</v>
      </c>
      <c r="M137" s="25" t="str">
        <f>IF($A137="","",D137+F137+H137+J137+L137)</f>
        <v/>
      </c>
      <c r="N137" s="26" t="str">
        <f>IF(OR($A137="",M137="",M137=0),"",RANK(M137,$M$4:$M$203,0))</f>
        <v/>
      </c>
      <c r="AA137">
        <f>Scherpenzeel!C143</f>
        <v>0</v>
      </c>
      <c r="AB137">
        <f>IF(AA137="",0,IF(COUNTIF($AA$1:AA137,AA137)=1,1,0))</f>
        <v>0</v>
      </c>
      <c r="AC137" t="str">
        <f>IF(AB137=1,COUNTIF($AB$1:AB137,1),"")</f>
        <v/>
      </c>
    </row>
    <row r="138" spans="1:29" x14ac:dyDescent="0.25">
      <c r="A138" s="13" t="str">
        <f>IFERROR(INDEX($AA$1:$AA$400,MATCH(135,$AC$1:$AC$400,0)),"")</f>
        <v/>
      </c>
      <c r="B138" s="13" t="str">
        <f>IF($A138="","",IF(IFERROR(INDEX(Barneveld!$E$40:$E$139,MATCH($A138,Barneveld!$C$40:$C$139,0)),"")&lt;&gt;"",IFERROR(INDEX(Barneveld!$E$40:$E$139,MATCH($A138,Barneveld!$C$40:$C$139,0)),""),IF(IFERROR(INDEX(Scherpenzeel!$F$107:$F$206,MATCH($A138,Scherpenzeel!$C$107:$C$206,0)),"")&lt;&gt;"",IFERROR(INDEX(Scherpenzeel!$F$107:$F$206,MATCH($A138,Scherpenzeel!$C$107:$C$206,0)),""),IF(IFERROR(INDEX('4'!$F$107:$F$206,MATCH($A138,'4'!$C$107:$C$206,0)),"")&lt;&gt;"",IFERROR(INDEX('4'!$F$107:$F$206,MATCH($A138,'4'!$C$107:$C$206,0)),""),IFERROR(INDEX('5'!$F$107:$F$206,MATCH($A138,'5'!$C$107:$C$206,0)),"")))))</f>
        <v/>
      </c>
      <c r="C138" s="24" t="str">
        <f>IF($A138="","",IFERROR(INDEX(Barneveld!$A$40:$A$139,MATCH($A138,Barneveld!$C$40:$C$139,0)),""))</f>
        <v/>
      </c>
      <c r="D138" s="15">
        <f>IF($A138="",0,IFERROR(INDEX(Barneveld!$H$40:$H$139,MATCH($A138,Barneveld!$C$40:$C$139,0)),0))</f>
        <v>0</v>
      </c>
      <c r="E138" s="24" t="str">
        <f>""</f>
        <v/>
      </c>
      <c r="F138" s="15">
        <f>0</f>
        <v>0</v>
      </c>
      <c r="G138" s="24" t="str">
        <f>IF($A138="","",IFERROR(INDEX(Scherpenzeel!$A$107:$A$206,MATCH($A138,Scherpenzeel!$C$107:$C$206,0)),""))</f>
        <v/>
      </c>
      <c r="H138" s="15">
        <f>IF($A138="",0,IFERROR(INDEX(Scherpenzeel!$I$107:$I$206,MATCH($A138,Scherpenzeel!$C$107:$C$206,0)),0))</f>
        <v>0</v>
      </c>
      <c r="I138" s="24" t="str">
        <f>IF($A138="","",IFERROR(INDEX('4'!$A$107:$A$206,MATCH($A138,'4'!$C$107:$C$206,0)),""))</f>
        <v/>
      </c>
      <c r="J138" s="15">
        <f>IF($A138="",0,IFERROR(INDEX('4'!$I$107:$I$206,MATCH($A138,'4'!$C$107:$C$206,0)),0))</f>
        <v>0</v>
      </c>
      <c r="K138" s="24" t="str">
        <f>IF($A138="","",IFERROR(INDEX('5'!$A$107:$A$206,MATCH($A138,'5'!$C$107:$C$206,0)),""))</f>
        <v/>
      </c>
      <c r="L138" s="15">
        <f>IF($A138="",0,IFERROR(INDEX('5'!$I$107:$I$206,MATCH($A138,'5'!$C$107:$C$206,0)),0))</f>
        <v>0</v>
      </c>
      <c r="M138" s="25" t="str">
        <f>IF($A138="","",D138+F138+H138+J138+L138)</f>
        <v/>
      </c>
      <c r="N138" s="26" t="str">
        <f>IF(OR($A138="",M138="",M138=0),"",RANK(M138,$M$4:$M$203,0))</f>
        <v/>
      </c>
      <c r="AA138">
        <f>Scherpenzeel!C144</f>
        <v>0</v>
      </c>
      <c r="AB138">
        <f>IF(AA138="",0,IF(COUNTIF($AA$1:AA138,AA138)=1,1,0))</f>
        <v>0</v>
      </c>
      <c r="AC138" t="str">
        <f>IF(AB138=1,COUNTIF($AB$1:AB138,1),"")</f>
        <v/>
      </c>
    </row>
    <row r="139" spans="1:29" x14ac:dyDescent="0.25">
      <c r="A139" s="13" t="str">
        <f>IFERROR(INDEX($AA$1:$AA$400,MATCH(136,$AC$1:$AC$400,0)),"")</f>
        <v/>
      </c>
      <c r="B139" s="13" t="str">
        <f>IF($A139="","",IF(IFERROR(INDEX(Barneveld!$E$40:$E$139,MATCH($A139,Barneveld!$C$40:$C$139,0)),"")&lt;&gt;"",IFERROR(INDEX(Barneveld!$E$40:$E$139,MATCH($A139,Barneveld!$C$40:$C$139,0)),""),IF(IFERROR(INDEX(Scherpenzeel!$F$107:$F$206,MATCH($A139,Scherpenzeel!$C$107:$C$206,0)),"")&lt;&gt;"",IFERROR(INDEX(Scherpenzeel!$F$107:$F$206,MATCH($A139,Scherpenzeel!$C$107:$C$206,0)),""),IF(IFERROR(INDEX('4'!$F$107:$F$206,MATCH($A139,'4'!$C$107:$C$206,0)),"")&lt;&gt;"",IFERROR(INDEX('4'!$F$107:$F$206,MATCH($A139,'4'!$C$107:$C$206,0)),""),IFERROR(INDEX('5'!$F$107:$F$206,MATCH($A139,'5'!$C$107:$C$206,0)),"")))))</f>
        <v/>
      </c>
      <c r="C139" s="24" t="str">
        <f>IF($A139="","",IFERROR(INDEX(Barneveld!$A$40:$A$139,MATCH($A139,Barneveld!$C$40:$C$139,0)),""))</f>
        <v/>
      </c>
      <c r="D139" s="15">
        <f>IF($A139="",0,IFERROR(INDEX(Barneveld!$H$40:$H$139,MATCH($A139,Barneveld!$C$40:$C$139,0)),0))</f>
        <v>0</v>
      </c>
      <c r="E139" s="24" t="str">
        <f>""</f>
        <v/>
      </c>
      <c r="F139" s="15">
        <f>0</f>
        <v>0</v>
      </c>
      <c r="G139" s="24" t="str">
        <f>IF($A139="","",IFERROR(INDEX(Scherpenzeel!$A$107:$A$206,MATCH($A139,Scherpenzeel!$C$107:$C$206,0)),""))</f>
        <v/>
      </c>
      <c r="H139" s="15">
        <f>IF($A139="",0,IFERROR(INDEX(Scherpenzeel!$I$107:$I$206,MATCH($A139,Scherpenzeel!$C$107:$C$206,0)),0))</f>
        <v>0</v>
      </c>
      <c r="I139" s="24" t="str">
        <f>IF($A139="","",IFERROR(INDEX('4'!$A$107:$A$206,MATCH($A139,'4'!$C$107:$C$206,0)),""))</f>
        <v/>
      </c>
      <c r="J139" s="15">
        <f>IF($A139="",0,IFERROR(INDEX('4'!$I$107:$I$206,MATCH($A139,'4'!$C$107:$C$206,0)),0))</f>
        <v>0</v>
      </c>
      <c r="K139" s="24" t="str">
        <f>IF($A139="","",IFERROR(INDEX('5'!$A$107:$A$206,MATCH($A139,'5'!$C$107:$C$206,0)),""))</f>
        <v/>
      </c>
      <c r="L139" s="15">
        <f>IF($A139="",0,IFERROR(INDEX('5'!$I$107:$I$206,MATCH($A139,'5'!$C$107:$C$206,0)),0))</f>
        <v>0</v>
      </c>
      <c r="M139" s="25" t="str">
        <f>IF($A139="","",D139+F139+H139+J139+L139)</f>
        <v/>
      </c>
      <c r="N139" s="26" t="str">
        <f>IF(OR($A139="",M139="",M139=0),"",RANK(M139,$M$4:$M$203,0))</f>
        <v/>
      </c>
      <c r="AA139">
        <f>Scherpenzeel!C145</f>
        <v>0</v>
      </c>
      <c r="AB139">
        <f>IF(AA139="",0,IF(COUNTIF($AA$1:AA139,AA139)=1,1,0))</f>
        <v>0</v>
      </c>
      <c r="AC139" t="str">
        <f>IF(AB139=1,COUNTIF($AB$1:AB139,1),"")</f>
        <v/>
      </c>
    </row>
    <row r="140" spans="1:29" x14ac:dyDescent="0.25">
      <c r="A140" s="13" t="str">
        <f>IFERROR(INDEX($AA$1:$AA$400,MATCH(137,$AC$1:$AC$400,0)),"")</f>
        <v/>
      </c>
      <c r="B140" s="13" t="str">
        <f>IF($A140="","",IF(IFERROR(INDEX(Barneveld!$E$40:$E$139,MATCH($A140,Barneveld!$C$40:$C$139,0)),"")&lt;&gt;"",IFERROR(INDEX(Barneveld!$E$40:$E$139,MATCH($A140,Barneveld!$C$40:$C$139,0)),""),IF(IFERROR(INDEX(Scherpenzeel!$F$107:$F$206,MATCH($A140,Scherpenzeel!$C$107:$C$206,0)),"")&lt;&gt;"",IFERROR(INDEX(Scherpenzeel!$F$107:$F$206,MATCH($A140,Scherpenzeel!$C$107:$C$206,0)),""),IF(IFERROR(INDEX('4'!$F$107:$F$206,MATCH($A140,'4'!$C$107:$C$206,0)),"")&lt;&gt;"",IFERROR(INDEX('4'!$F$107:$F$206,MATCH($A140,'4'!$C$107:$C$206,0)),""),IFERROR(INDEX('5'!$F$107:$F$206,MATCH($A140,'5'!$C$107:$C$206,0)),"")))))</f>
        <v/>
      </c>
      <c r="C140" s="24" t="str">
        <f>IF($A140="","",IFERROR(INDEX(Barneveld!$A$40:$A$139,MATCH($A140,Barneveld!$C$40:$C$139,0)),""))</f>
        <v/>
      </c>
      <c r="D140" s="15">
        <f>IF($A140="",0,IFERROR(INDEX(Barneveld!$H$40:$H$139,MATCH($A140,Barneveld!$C$40:$C$139,0)),0))</f>
        <v>0</v>
      </c>
      <c r="E140" s="24" t="str">
        <f>""</f>
        <v/>
      </c>
      <c r="F140" s="15">
        <f>0</f>
        <v>0</v>
      </c>
      <c r="G140" s="24" t="str">
        <f>IF($A140="","",IFERROR(INDEX(Scherpenzeel!$A$107:$A$206,MATCH($A140,Scherpenzeel!$C$107:$C$206,0)),""))</f>
        <v/>
      </c>
      <c r="H140" s="15">
        <f>IF($A140="",0,IFERROR(INDEX(Scherpenzeel!$I$107:$I$206,MATCH($A140,Scherpenzeel!$C$107:$C$206,0)),0))</f>
        <v>0</v>
      </c>
      <c r="I140" s="24" t="str">
        <f>IF($A140="","",IFERROR(INDEX('4'!$A$107:$A$206,MATCH($A140,'4'!$C$107:$C$206,0)),""))</f>
        <v/>
      </c>
      <c r="J140" s="15">
        <f>IF($A140="",0,IFERROR(INDEX('4'!$I$107:$I$206,MATCH($A140,'4'!$C$107:$C$206,0)),0))</f>
        <v>0</v>
      </c>
      <c r="K140" s="24" t="str">
        <f>IF($A140="","",IFERROR(INDEX('5'!$A$107:$A$206,MATCH($A140,'5'!$C$107:$C$206,0)),""))</f>
        <v/>
      </c>
      <c r="L140" s="15">
        <f>IF($A140="",0,IFERROR(INDEX('5'!$I$107:$I$206,MATCH($A140,'5'!$C$107:$C$206,0)),0))</f>
        <v>0</v>
      </c>
      <c r="M140" s="25" t="str">
        <f>IF($A140="","",D140+F140+H140+J140+L140)</f>
        <v/>
      </c>
      <c r="N140" s="26" t="str">
        <f>IF(OR($A140="",M140="",M140=0),"",RANK(M140,$M$4:$M$203,0))</f>
        <v/>
      </c>
      <c r="AA140">
        <f>Scherpenzeel!C146</f>
        <v>0</v>
      </c>
      <c r="AB140">
        <f>IF(AA140="",0,IF(COUNTIF($AA$1:AA140,AA140)=1,1,0))</f>
        <v>0</v>
      </c>
      <c r="AC140" t="str">
        <f>IF(AB140=1,COUNTIF($AB$1:AB140,1),"")</f>
        <v/>
      </c>
    </row>
    <row r="141" spans="1:29" x14ac:dyDescent="0.25">
      <c r="A141" s="13" t="str">
        <f>IFERROR(INDEX($AA$1:$AA$400,MATCH(138,$AC$1:$AC$400,0)),"")</f>
        <v/>
      </c>
      <c r="B141" s="13" t="str">
        <f>IF($A141="","",IF(IFERROR(INDEX(Barneveld!$E$40:$E$139,MATCH($A141,Barneveld!$C$40:$C$139,0)),"")&lt;&gt;"",IFERROR(INDEX(Barneveld!$E$40:$E$139,MATCH($A141,Barneveld!$C$40:$C$139,0)),""),IF(IFERROR(INDEX(Scherpenzeel!$F$107:$F$206,MATCH($A141,Scherpenzeel!$C$107:$C$206,0)),"")&lt;&gt;"",IFERROR(INDEX(Scherpenzeel!$F$107:$F$206,MATCH($A141,Scherpenzeel!$C$107:$C$206,0)),""),IF(IFERROR(INDEX('4'!$F$107:$F$206,MATCH($A141,'4'!$C$107:$C$206,0)),"")&lt;&gt;"",IFERROR(INDEX('4'!$F$107:$F$206,MATCH($A141,'4'!$C$107:$C$206,0)),""),IFERROR(INDEX('5'!$F$107:$F$206,MATCH($A141,'5'!$C$107:$C$206,0)),"")))))</f>
        <v/>
      </c>
      <c r="C141" s="24" t="str">
        <f>IF($A141="","",IFERROR(INDEX(Barneveld!$A$40:$A$139,MATCH($A141,Barneveld!$C$40:$C$139,0)),""))</f>
        <v/>
      </c>
      <c r="D141" s="15">
        <f>IF($A141="",0,IFERROR(INDEX(Barneveld!$H$40:$H$139,MATCH($A141,Barneveld!$C$40:$C$139,0)),0))</f>
        <v>0</v>
      </c>
      <c r="E141" s="24" t="str">
        <f>""</f>
        <v/>
      </c>
      <c r="F141" s="15">
        <f>0</f>
        <v>0</v>
      </c>
      <c r="G141" s="24" t="str">
        <f>IF($A141="","",IFERROR(INDEX(Scherpenzeel!$A$107:$A$206,MATCH($A141,Scherpenzeel!$C$107:$C$206,0)),""))</f>
        <v/>
      </c>
      <c r="H141" s="15">
        <f>IF($A141="",0,IFERROR(INDEX(Scherpenzeel!$I$107:$I$206,MATCH($A141,Scherpenzeel!$C$107:$C$206,0)),0))</f>
        <v>0</v>
      </c>
      <c r="I141" s="24" t="str">
        <f>IF($A141="","",IFERROR(INDEX('4'!$A$107:$A$206,MATCH($A141,'4'!$C$107:$C$206,0)),""))</f>
        <v/>
      </c>
      <c r="J141" s="15">
        <f>IF($A141="",0,IFERROR(INDEX('4'!$I$107:$I$206,MATCH($A141,'4'!$C$107:$C$206,0)),0))</f>
        <v>0</v>
      </c>
      <c r="K141" s="24" t="str">
        <f>IF($A141="","",IFERROR(INDEX('5'!$A$107:$A$206,MATCH($A141,'5'!$C$107:$C$206,0)),""))</f>
        <v/>
      </c>
      <c r="L141" s="15">
        <f>IF($A141="",0,IFERROR(INDEX('5'!$I$107:$I$206,MATCH($A141,'5'!$C$107:$C$206,0)),0))</f>
        <v>0</v>
      </c>
      <c r="M141" s="25" t="str">
        <f>IF($A141="","",D141+F141+H141+J141+L141)</f>
        <v/>
      </c>
      <c r="N141" s="26" t="str">
        <f>IF(OR($A141="",M141="",M141=0),"",RANK(M141,$M$4:$M$203,0))</f>
        <v/>
      </c>
      <c r="AA141">
        <f>Scherpenzeel!C147</f>
        <v>0</v>
      </c>
      <c r="AB141">
        <f>IF(AA141="",0,IF(COUNTIF($AA$1:AA141,AA141)=1,1,0))</f>
        <v>0</v>
      </c>
      <c r="AC141" t="str">
        <f>IF(AB141=1,COUNTIF($AB$1:AB141,1),"")</f>
        <v/>
      </c>
    </row>
    <row r="142" spans="1:29" x14ac:dyDescent="0.25">
      <c r="A142" s="13" t="str">
        <f>IFERROR(INDEX($AA$1:$AA$400,MATCH(139,$AC$1:$AC$400,0)),"")</f>
        <v/>
      </c>
      <c r="B142" s="13" t="str">
        <f>IF($A142="","",IF(IFERROR(INDEX(Barneveld!$E$40:$E$139,MATCH($A142,Barneveld!$C$40:$C$139,0)),"")&lt;&gt;"",IFERROR(INDEX(Barneveld!$E$40:$E$139,MATCH($A142,Barneveld!$C$40:$C$139,0)),""),IF(IFERROR(INDEX(Scherpenzeel!$F$107:$F$206,MATCH($A142,Scherpenzeel!$C$107:$C$206,0)),"")&lt;&gt;"",IFERROR(INDEX(Scherpenzeel!$F$107:$F$206,MATCH($A142,Scherpenzeel!$C$107:$C$206,0)),""),IF(IFERROR(INDEX('4'!$F$107:$F$206,MATCH($A142,'4'!$C$107:$C$206,0)),"")&lt;&gt;"",IFERROR(INDEX('4'!$F$107:$F$206,MATCH($A142,'4'!$C$107:$C$206,0)),""),IFERROR(INDEX('5'!$F$107:$F$206,MATCH($A142,'5'!$C$107:$C$206,0)),"")))))</f>
        <v/>
      </c>
      <c r="C142" s="24" t="str">
        <f>IF($A142="","",IFERROR(INDEX(Barneveld!$A$40:$A$139,MATCH($A142,Barneveld!$C$40:$C$139,0)),""))</f>
        <v/>
      </c>
      <c r="D142" s="15">
        <f>IF($A142="",0,IFERROR(INDEX(Barneveld!$H$40:$H$139,MATCH($A142,Barneveld!$C$40:$C$139,0)),0))</f>
        <v>0</v>
      </c>
      <c r="E142" s="24" t="str">
        <f>""</f>
        <v/>
      </c>
      <c r="F142" s="15">
        <f>0</f>
        <v>0</v>
      </c>
      <c r="G142" s="24" t="str">
        <f>IF($A142="","",IFERROR(INDEX(Scherpenzeel!$A$107:$A$206,MATCH($A142,Scherpenzeel!$C$107:$C$206,0)),""))</f>
        <v/>
      </c>
      <c r="H142" s="15">
        <f>IF($A142="",0,IFERROR(INDEX(Scherpenzeel!$I$107:$I$206,MATCH($A142,Scherpenzeel!$C$107:$C$206,0)),0))</f>
        <v>0</v>
      </c>
      <c r="I142" s="24" t="str">
        <f>IF($A142="","",IFERROR(INDEX('4'!$A$107:$A$206,MATCH($A142,'4'!$C$107:$C$206,0)),""))</f>
        <v/>
      </c>
      <c r="J142" s="15">
        <f>IF($A142="",0,IFERROR(INDEX('4'!$I$107:$I$206,MATCH($A142,'4'!$C$107:$C$206,0)),0))</f>
        <v>0</v>
      </c>
      <c r="K142" s="24" t="str">
        <f>IF($A142="","",IFERROR(INDEX('5'!$A$107:$A$206,MATCH($A142,'5'!$C$107:$C$206,0)),""))</f>
        <v/>
      </c>
      <c r="L142" s="15">
        <f>IF($A142="",0,IFERROR(INDEX('5'!$I$107:$I$206,MATCH($A142,'5'!$C$107:$C$206,0)),0))</f>
        <v>0</v>
      </c>
      <c r="M142" s="25" t="str">
        <f>IF($A142="","",D142+F142+H142+J142+L142)</f>
        <v/>
      </c>
      <c r="N142" s="26" t="str">
        <f>IF(OR($A142="",M142="",M142=0),"",RANK(M142,$M$4:$M$203,0))</f>
        <v/>
      </c>
      <c r="AA142">
        <f>Scherpenzeel!C148</f>
        <v>0</v>
      </c>
      <c r="AB142">
        <f>IF(AA142="",0,IF(COUNTIF($AA$1:AA142,AA142)=1,1,0))</f>
        <v>0</v>
      </c>
      <c r="AC142" t="str">
        <f>IF(AB142=1,COUNTIF($AB$1:AB142,1),"")</f>
        <v/>
      </c>
    </row>
    <row r="143" spans="1:29" x14ac:dyDescent="0.25">
      <c r="A143" s="13" t="str">
        <f>IFERROR(INDEX($AA$1:$AA$400,MATCH(140,$AC$1:$AC$400,0)),"")</f>
        <v/>
      </c>
      <c r="B143" s="13" t="str">
        <f>IF($A143="","",IF(IFERROR(INDEX(Barneveld!$E$40:$E$139,MATCH($A143,Barneveld!$C$40:$C$139,0)),"")&lt;&gt;"",IFERROR(INDEX(Barneveld!$E$40:$E$139,MATCH($A143,Barneveld!$C$40:$C$139,0)),""),IF(IFERROR(INDEX(Scherpenzeel!$F$107:$F$206,MATCH($A143,Scherpenzeel!$C$107:$C$206,0)),"")&lt;&gt;"",IFERROR(INDEX(Scherpenzeel!$F$107:$F$206,MATCH($A143,Scherpenzeel!$C$107:$C$206,0)),""),IF(IFERROR(INDEX('4'!$F$107:$F$206,MATCH($A143,'4'!$C$107:$C$206,0)),"")&lt;&gt;"",IFERROR(INDEX('4'!$F$107:$F$206,MATCH($A143,'4'!$C$107:$C$206,0)),""),IFERROR(INDEX('5'!$F$107:$F$206,MATCH($A143,'5'!$C$107:$C$206,0)),"")))))</f>
        <v/>
      </c>
      <c r="C143" s="24" t="str">
        <f>IF($A143="","",IFERROR(INDEX(Barneveld!$A$40:$A$139,MATCH($A143,Barneveld!$C$40:$C$139,0)),""))</f>
        <v/>
      </c>
      <c r="D143" s="15">
        <f>IF($A143="",0,IFERROR(INDEX(Barneveld!$H$40:$H$139,MATCH($A143,Barneveld!$C$40:$C$139,0)),0))</f>
        <v>0</v>
      </c>
      <c r="E143" s="24" t="str">
        <f>""</f>
        <v/>
      </c>
      <c r="F143" s="15">
        <f>0</f>
        <v>0</v>
      </c>
      <c r="G143" s="24" t="str">
        <f>IF($A143="","",IFERROR(INDEX(Scherpenzeel!$A$107:$A$206,MATCH($A143,Scherpenzeel!$C$107:$C$206,0)),""))</f>
        <v/>
      </c>
      <c r="H143" s="15">
        <f>IF($A143="",0,IFERROR(INDEX(Scherpenzeel!$I$107:$I$206,MATCH($A143,Scherpenzeel!$C$107:$C$206,0)),0))</f>
        <v>0</v>
      </c>
      <c r="I143" s="24" t="str">
        <f>IF($A143="","",IFERROR(INDEX('4'!$A$107:$A$206,MATCH($A143,'4'!$C$107:$C$206,0)),""))</f>
        <v/>
      </c>
      <c r="J143" s="15">
        <f>IF($A143="",0,IFERROR(INDEX('4'!$I$107:$I$206,MATCH($A143,'4'!$C$107:$C$206,0)),0))</f>
        <v>0</v>
      </c>
      <c r="K143" s="24" t="str">
        <f>IF($A143="","",IFERROR(INDEX('5'!$A$107:$A$206,MATCH($A143,'5'!$C$107:$C$206,0)),""))</f>
        <v/>
      </c>
      <c r="L143" s="15">
        <f>IF($A143="",0,IFERROR(INDEX('5'!$I$107:$I$206,MATCH($A143,'5'!$C$107:$C$206,0)),0))</f>
        <v>0</v>
      </c>
      <c r="M143" s="25" t="str">
        <f>IF($A143="","",D143+F143+H143+J143+L143)</f>
        <v/>
      </c>
      <c r="N143" s="26" t="str">
        <f>IF(OR($A143="",M143="",M143=0),"",RANK(M143,$M$4:$M$203,0))</f>
        <v/>
      </c>
      <c r="AA143">
        <f>Scherpenzeel!C149</f>
        <v>0</v>
      </c>
      <c r="AB143">
        <f>IF(AA143="",0,IF(COUNTIF($AA$1:AA143,AA143)=1,1,0))</f>
        <v>0</v>
      </c>
      <c r="AC143" t="str">
        <f>IF(AB143=1,COUNTIF($AB$1:AB143,1),"")</f>
        <v/>
      </c>
    </row>
    <row r="144" spans="1:29" x14ac:dyDescent="0.25">
      <c r="A144" s="13" t="str">
        <f>IFERROR(INDEX($AA$1:$AA$400,MATCH(141,$AC$1:$AC$400,0)),"")</f>
        <v/>
      </c>
      <c r="B144" s="13" t="str">
        <f>IF($A144="","",IF(IFERROR(INDEX(Barneveld!$E$40:$E$139,MATCH($A144,Barneveld!$C$40:$C$139,0)),"")&lt;&gt;"",IFERROR(INDEX(Barneveld!$E$40:$E$139,MATCH($A144,Barneveld!$C$40:$C$139,0)),""),IF(IFERROR(INDEX(Scherpenzeel!$F$107:$F$206,MATCH($A144,Scherpenzeel!$C$107:$C$206,0)),"")&lt;&gt;"",IFERROR(INDEX(Scherpenzeel!$F$107:$F$206,MATCH($A144,Scherpenzeel!$C$107:$C$206,0)),""),IF(IFERROR(INDEX('4'!$F$107:$F$206,MATCH($A144,'4'!$C$107:$C$206,0)),"")&lt;&gt;"",IFERROR(INDEX('4'!$F$107:$F$206,MATCH($A144,'4'!$C$107:$C$206,0)),""),IFERROR(INDEX('5'!$F$107:$F$206,MATCH($A144,'5'!$C$107:$C$206,0)),"")))))</f>
        <v/>
      </c>
      <c r="C144" s="24" t="str">
        <f>IF($A144="","",IFERROR(INDEX(Barneveld!$A$40:$A$139,MATCH($A144,Barneveld!$C$40:$C$139,0)),""))</f>
        <v/>
      </c>
      <c r="D144" s="15">
        <f>IF($A144="",0,IFERROR(INDEX(Barneveld!$H$40:$H$139,MATCH($A144,Barneveld!$C$40:$C$139,0)),0))</f>
        <v>0</v>
      </c>
      <c r="E144" s="24" t="str">
        <f>""</f>
        <v/>
      </c>
      <c r="F144" s="15">
        <f>0</f>
        <v>0</v>
      </c>
      <c r="G144" s="24" t="str">
        <f>IF($A144="","",IFERROR(INDEX(Scherpenzeel!$A$107:$A$206,MATCH($A144,Scherpenzeel!$C$107:$C$206,0)),""))</f>
        <v/>
      </c>
      <c r="H144" s="15">
        <f>IF($A144="",0,IFERROR(INDEX(Scherpenzeel!$I$107:$I$206,MATCH($A144,Scherpenzeel!$C$107:$C$206,0)),0))</f>
        <v>0</v>
      </c>
      <c r="I144" s="24" t="str">
        <f>IF($A144="","",IFERROR(INDEX('4'!$A$107:$A$206,MATCH($A144,'4'!$C$107:$C$206,0)),""))</f>
        <v/>
      </c>
      <c r="J144" s="15">
        <f>IF($A144="",0,IFERROR(INDEX('4'!$I$107:$I$206,MATCH($A144,'4'!$C$107:$C$206,0)),0))</f>
        <v>0</v>
      </c>
      <c r="K144" s="24" t="str">
        <f>IF($A144="","",IFERROR(INDEX('5'!$A$107:$A$206,MATCH($A144,'5'!$C$107:$C$206,0)),""))</f>
        <v/>
      </c>
      <c r="L144" s="15">
        <f>IF($A144="",0,IFERROR(INDEX('5'!$I$107:$I$206,MATCH($A144,'5'!$C$107:$C$206,0)),0))</f>
        <v>0</v>
      </c>
      <c r="M144" s="25" t="str">
        <f>IF($A144="","",D144+F144+H144+J144+L144)</f>
        <v/>
      </c>
      <c r="N144" s="26" t="str">
        <f>IF(OR($A144="",M144="",M144=0),"",RANK(M144,$M$4:$M$203,0))</f>
        <v/>
      </c>
      <c r="AA144">
        <f>Scherpenzeel!C150</f>
        <v>0</v>
      </c>
      <c r="AB144">
        <f>IF(AA144="",0,IF(COUNTIF($AA$1:AA144,AA144)=1,1,0))</f>
        <v>0</v>
      </c>
      <c r="AC144" t="str">
        <f>IF(AB144=1,COUNTIF($AB$1:AB144,1),"")</f>
        <v/>
      </c>
    </row>
    <row r="145" spans="1:29" x14ac:dyDescent="0.25">
      <c r="A145" s="13" t="str">
        <f>IFERROR(INDEX($AA$1:$AA$400,MATCH(142,$AC$1:$AC$400,0)),"")</f>
        <v/>
      </c>
      <c r="B145" s="13" t="str">
        <f>IF($A145="","",IF(IFERROR(INDEX(Barneveld!$E$40:$E$139,MATCH($A145,Barneveld!$C$40:$C$139,0)),"")&lt;&gt;"",IFERROR(INDEX(Barneveld!$E$40:$E$139,MATCH($A145,Barneveld!$C$40:$C$139,0)),""),IF(IFERROR(INDEX(Scherpenzeel!$F$107:$F$206,MATCH($A145,Scherpenzeel!$C$107:$C$206,0)),"")&lt;&gt;"",IFERROR(INDEX(Scherpenzeel!$F$107:$F$206,MATCH($A145,Scherpenzeel!$C$107:$C$206,0)),""),IF(IFERROR(INDEX('4'!$F$107:$F$206,MATCH($A145,'4'!$C$107:$C$206,0)),"")&lt;&gt;"",IFERROR(INDEX('4'!$F$107:$F$206,MATCH($A145,'4'!$C$107:$C$206,0)),""),IFERROR(INDEX('5'!$F$107:$F$206,MATCH($A145,'5'!$C$107:$C$206,0)),"")))))</f>
        <v/>
      </c>
      <c r="C145" s="24" t="str">
        <f>IF($A145="","",IFERROR(INDEX(Barneveld!$A$40:$A$139,MATCH($A145,Barneveld!$C$40:$C$139,0)),""))</f>
        <v/>
      </c>
      <c r="D145" s="15">
        <f>IF($A145="",0,IFERROR(INDEX(Barneveld!$H$40:$H$139,MATCH($A145,Barneveld!$C$40:$C$139,0)),0))</f>
        <v>0</v>
      </c>
      <c r="E145" s="24" t="str">
        <f>""</f>
        <v/>
      </c>
      <c r="F145" s="15">
        <f>0</f>
        <v>0</v>
      </c>
      <c r="G145" s="24" t="str">
        <f>IF($A145="","",IFERROR(INDEX(Scherpenzeel!$A$107:$A$206,MATCH($A145,Scherpenzeel!$C$107:$C$206,0)),""))</f>
        <v/>
      </c>
      <c r="H145" s="15">
        <f>IF($A145="",0,IFERROR(INDEX(Scherpenzeel!$I$107:$I$206,MATCH($A145,Scherpenzeel!$C$107:$C$206,0)),0))</f>
        <v>0</v>
      </c>
      <c r="I145" s="24" t="str">
        <f>IF($A145="","",IFERROR(INDEX('4'!$A$107:$A$206,MATCH($A145,'4'!$C$107:$C$206,0)),""))</f>
        <v/>
      </c>
      <c r="J145" s="15">
        <f>IF($A145="",0,IFERROR(INDEX('4'!$I$107:$I$206,MATCH($A145,'4'!$C$107:$C$206,0)),0))</f>
        <v>0</v>
      </c>
      <c r="K145" s="24" t="str">
        <f>IF($A145="","",IFERROR(INDEX('5'!$A$107:$A$206,MATCH($A145,'5'!$C$107:$C$206,0)),""))</f>
        <v/>
      </c>
      <c r="L145" s="15">
        <f>IF($A145="",0,IFERROR(INDEX('5'!$I$107:$I$206,MATCH($A145,'5'!$C$107:$C$206,0)),0))</f>
        <v>0</v>
      </c>
      <c r="M145" s="25" t="str">
        <f>IF($A145="","",D145+F145+H145+J145+L145)</f>
        <v/>
      </c>
      <c r="N145" s="26" t="str">
        <f>IF(OR($A145="",M145="",M145=0),"",RANK(M145,$M$4:$M$203,0))</f>
        <v/>
      </c>
      <c r="AA145">
        <f>Scherpenzeel!C151</f>
        <v>0</v>
      </c>
      <c r="AB145">
        <f>IF(AA145="",0,IF(COUNTIF($AA$1:AA145,AA145)=1,1,0))</f>
        <v>0</v>
      </c>
      <c r="AC145" t="str">
        <f>IF(AB145=1,COUNTIF($AB$1:AB145,1),"")</f>
        <v/>
      </c>
    </row>
    <row r="146" spans="1:29" x14ac:dyDescent="0.25">
      <c r="A146" s="13" t="str">
        <f>IFERROR(INDEX($AA$1:$AA$400,MATCH(143,$AC$1:$AC$400,0)),"")</f>
        <v/>
      </c>
      <c r="B146" s="13" t="str">
        <f>IF($A146="","",IF(IFERROR(INDEX(Barneveld!$E$40:$E$139,MATCH($A146,Barneveld!$C$40:$C$139,0)),"")&lt;&gt;"",IFERROR(INDEX(Barneveld!$E$40:$E$139,MATCH($A146,Barneveld!$C$40:$C$139,0)),""),IF(IFERROR(INDEX(Scherpenzeel!$F$107:$F$206,MATCH($A146,Scherpenzeel!$C$107:$C$206,0)),"")&lt;&gt;"",IFERROR(INDEX(Scherpenzeel!$F$107:$F$206,MATCH($A146,Scherpenzeel!$C$107:$C$206,0)),""),IF(IFERROR(INDEX('4'!$F$107:$F$206,MATCH($A146,'4'!$C$107:$C$206,0)),"")&lt;&gt;"",IFERROR(INDEX('4'!$F$107:$F$206,MATCH($A146,'4'!$C$107:$C$206,0)),""),IFERROR(INDEX('5'!$F$107:$F$206,MATCH($A146,'5'!$C$107:$C$206,0)),"")))))</f>
        <v/>
      </c>
      <c r="C146" s="24" t="str">
        <f>IF($A146="","",IFERROR(INDEX(Barneveld!$A$40:$A$139,MATCH($A146,Barneveld!$C$40:$C$139,0)),""))</f>
        <v/>
      </c>
      <c r="D146" s="15">
        <f>IF($A146="",0,IFERROR(INDEX(Barneveld!$H$40:$H$139,MATCH($A146,Barneveld!$C$40:$C$139,0)),0))</f>
        <v>0</v>
      </c>
      <c r="E146" s="24" t="str">
        <f>""</f>
        <v/>
      </c>
      <c r="F146" s="15">
        <f>0</f>
        <v>0</v>
      </c>
      <c r="G146" s="24" t="str">
        <f>IF($A146="","",IFERROR(INDEX(Scherpenzeel!$A$107:$A$206,MATCH($A146,Scherpenzeel!$C$107:$C$206,0)),""))</f>
        <v/>
      </c>
      <c r="H146" s="15">
        <f>IF($A146="",0,IFERROR(INDEX(Scherpenzeel!$I$107:$I$206,MATCH($A146,Scherpenzeel!$C$107:$C$206,0)),0))</f>
        <v>0</v>
      </c>
      <c r="I146" s="24" t="str">
        <f>IF($A146="","",IFERROR(INDEX('4'!$A$107:$A$206,MATCH($A146,'4'!$C$107:$C$206,0)),""))</f>
        <v/>
      </c>
      <c r="J146" s="15">
        <f>IF($A146="",0,IFERROR(INDEX('4'!$I$107:$I$206,MATCH($A146,'4'!$C$107:$C$206,0)),0))</f>
        <v>0</v>
      </c>
      <c r="K146" s="24" t="str">
        <f>IF($A146="","",IFERROR(INDEX('5'!$A$107:$A$206,MATCH($A146,'5'!$C$107:$C$206,0)),""))</f>
        <v/>
      </c>
      <c r="L146" s="15">
        <f>IF($A146="",0,IFERROR(INDEX('5'!$I$107:$I$206,MATCH($A146,'5'!$C$107:$C$206,0)),0))</f>
        <v>0</v>
      </c>
      <c r="M146" s="25" t="str">
        <f>IF($A146="","",D146+F146+H146+J146+L146)</f>
        <v/>
      </c>
      <c r="N146" s="26" t="str">
        <f>IF(OR($A146="",M146="",M146=0),"",RANK(M146,$M$4:$M$203,0))</f>
        <v/>
      </c>
      <c r="AA146">
        <f>Scherpenzeel!C152</f>
        <v>0</v>
      </c>
      <c r="AB146">
        <f>IF(AA146="",0,IF(COUNTIF($AA$1:AA146,AA146)=1,1,0))</f>
        <v>0</v>
      </c>
      <c r="AC146" t="str">
        <f>IF(AB146=1,COUNTIF($AB$1:AB146,1),"")</f>
        <v/>
      </c>
    </row>
    <row r="147" spans="1:29" x14ac:dyDescent="0.25">
      <c r="A147" s="13" t="str">
        <f>IFERROR(INDEX($AA$1:$AA$400,MATCH(144,$AC$1:$AC$400,0)),"")</f>
        <v/>
      </c>
      <c r="B147" s="13" t="str">
        <f>IF($A147="","",IF(IFERROR(INDEX(Barneveld!$E$40:$E$139,MATCH($A147,Barneveld!$C$40:$C$139,0)),"")&lt;&gt;"",IFERROR(INDEX(Barneveld!$E$40:$E$139,MATCH($A147,Barneveld!$C$40:$C$139,0)),""),IF(IFERROR(INDEX(Scherpenzeel!$F$107:$F$206,MATCH($A147,Scherpenzeel!$C$107:$C$206,0)),"")&lt;&gt;"",IFERROR(INDEX(Scherpenzeel!$F$107:$F$206,MATCH($A147,Scherpenzeel!$C$107:$C$206,0)),""),IF(IFERROR(INDEX('4'!$F$107:$F$206,MATCH($A147,'4'!$C$107:$C$206,0)),"")&lt;&gt;"",IFERROR(INDEX('4'!$F$107:$F$206,MATCH($A147,'4'!$C$107:$C$206,0)),""),IFERROR(INDEX('5'!$F$107:$F$206,MATCH($A147,'5'!$C$107:$C$206,0)),"")))))</f>
        <v/>
      </c>
      <c r="C147" s="24" t="str">
        <f>IF($A147="","",IFERROR(INDEX(Barneveld!$A$40:$A$139,MATCH($A147,Barneveld!$C$40:$C$139,0)),""))</f>
        <v/>
      </c>
      <c r="D147" s="15">
        <f>IF($A147="",0,IFERROR(INDEX(Barneveld!$H$40:$H$139,MATCH($A147,Barneveld!$C$40:$C$139,0)),0))</f>
        <v>0</v>
      </c>
      <c r="E147" s="24" t="str">
        <f>""</f>
        <v/>
      </c>
      <c r="F147" s="15">
        <f>0</f>
        <v>0</v>
      </c>
      <c r="G147" s="24" t="str">
        <f>IF($A147="","",IFERROR(INDEX(Scherpenzeel!$A$107:$A$206,MATCH($A147,Scherpenzeel!$C$107:$C$206,0)),""))</f>
        <v/>
      </c>
      <c r="H147" s="15">
        <f>IF($A147="",0,IFERROR(INDEX(Scherpenzeel!$I$107:$I$206,MATCH($A147,Scherpenzeel!$C$107:$C$206,0)),0))</f>
        <v>0</v>
      </c>
      <c r="I147" s="24" t="str">
        <f>IF($A147="","",IFERROR(INDEX('4'!$A$107:$A$206,MATCH($A147,'4'!$C$107:$C$206,0)),""))</f>
        <v/>
      </c>
      <c r="J147" s="15">
        <f>IF($A147="",0,IFERROR(INDEX('4'!$I$107:$I$206,MATCH($A147,'4'!$C$107:$C$206,0)),0))</f>
        <v>0</v>
      </c>
      <c r="K147" s="24" t="str">
        <f>IF($A147="","",IFERROR(INDEX('5'!$A$107:$A$206,MATCH($A147,'5'!$C$107:$C$206,0)),""))</f>
        <v/>
      </c>
      <c r="L147" s="15">
        <f>IF($A147="",0,IFERROR(INDEX('5'!$I$107:$I$206,MATCH($A147,'5'!$C$107:$C$206,0)),0))</f>
        <v>0</v>
      </c>
      <c r="M147" s="25" t="str">
        <f>IF($A147="","",D147+F147+H147+J147+L147)</f>
        <v/>
      </c>
      <c r="N147" s="26" t="str">
        <f>IF(OR($A147="",M147="",M147=0),"",RANK(M147,$M$4:$M$203,0))</f>
        <v/>
      </c>
      <c r="AA147">
        <f>Scherpenzeel!C153</f>
        <v>0</v>
      </c>
      <c r="AB147">
        <f>IF(AA147="",0,IF(COUNTIF($AA$1:AA147,AA147)=1,1,0))</f>
        <v>0</v>
      </c>
      <c r="AC147" t="str">
        <f>IF(AB147=1,COUNTIF($AB$1:AB147,1),"")</f>
        <v/>
      </c>
    </row>
    <row r="148" spans="1:29" x14ac:dyDescent="0.25">
      <c r="A148" s="13" t="str">
        <f>IFERROR(INDEX($AA$1:$AA$400,MATCH(145,$AC$1:$AC$400,0)),"")</f>
        <v/>
      </c>
      <c r="B148" s="13" t="str">
        <f>IF($A148="","",IF(IFERROR(INDEX(Barneveld!$E$40:$E$139,MATCH($A148,Barneveld!$C$40:$C$139,0)),"")&lt;&gt;"",IFERROR(INDEX(Barneveld!$E$40:$E$139,MATCH($A148,Barneveld!$C$40:$C$139,0)),""),IF(IFERROR(INDEX(Scherpenzeel!$F$107:$F$206,MATCH($A148,Scherpenzeel!$C$107:$C$206,0)),"")&lt;&gt;"",IFERROR(INDEX(Scherpenzeel!$F$107:$F$206,MATCH($A148,Scherpenzeel!$C$107:$C$206,0)),""),IF(IFERROR(INDEX('4'!$F$107:$F$206,MATCH($A148,'4'!$C$107:$C$206,0)),"")&lt;&gt;"",IFERROR(INDEX('4'!$F$107:$F$206,MATCH($A148,'4'!$C$107:$C$206,0)),""),IFERROR(INDEX('5'!$F$107:$F$206,MATCH($A148,'5'!$C$107:$C$206,0)),"")))))</f>
        <v/>
      </c>
      <c r="C148" s="24" t="str">
        <f>IF($A148="","",IFERROR(INDEX(Barneveld!$A$40:$A$139,MATCH($A148,Barneveld!$C$40:$C$139,0)),""))</f>
        <v/>
      </c>
      <c r="D148" s="15">
        <f>IF($A148="",0,IFERROR(INDEX(Barneveld!$H$40:$H$139,MATCH($A148,Barneveld!$C$40:$C$139,0)),0))</f>
        <v>0</v>
      </c>
      <c r="E148" s="24" t="str">
        <f>""</f>
        <v/>
      </c>
      <c r="F148" s="15">
        <f>0</f>
        <v>0</v>
      </c>
      <c r="G148" s="24" t="str">
        <f>IF($A148="","",IFERROR(INDEX(Scherpenzeel!$A$107:$A$206,MATCH($A148,Scherpenzeel!$C$107:$C$206,0)),""))</f>
        <v/>
      </c>
      <c r="H148" s="15">
        <f>IF($A148="",0,IFERROR(INDEX(Scherpenzeel!$I$107:$I$206,MATCH($A148,Scherpenzeel!$C$107:$C$206,0)),0))</f>
        <v>0</v>
      </c>
      <c r="I148" s="24" t="str">
        <f>IF($A148="","",IFERROR(INDEX('4'!$A$107:$A$206,MATCH($A148,'4'!$C$107:$C$206,0)),""))</f>
        <v/>
      </c>
      <c r="J148" s="15">
        <f>IF($A148="",0,IFERROR(INDEX('4'!$I$107:$I$206,MATCH($A148,'4'!$C$107:$C$206,0)),0))</f>
        <v>0</v>
      </c>
      <c r="K148" s="24" t="str">
        <f>IF($A148="","",IFERROR(INDEX('5'!$A$107:$A$206,MATCH($A148,'5'!$C$107:$C$206,0)),""))</f>
        <v/>
      </c>
      <c r="L148" s="15">
        <f>IF($A148="",0,IFERROR(INDEX('5'!$I$107:$I$206,MATCH($A148,'5'!$C$107:$C$206,0)),0))</f>
        <v>0</v>
      </c>
      <c r="M148" s="25" t="str">
        <f>IF($A148="","",D148+F148+H148+J148+L148)</f>
        <v/>
      </c>
      <c r="N148" s="26" t="str">
        <f>IF(OR($A148="",M148="",M148=0),"",RANK(M148,$M$4:$M$203,0))</f>
        <v/>
      </c>
      <c r="AA148">
        <f>Scherpenzeel!C154</f>
        <v>0</v>
      </c>
      <c r="AB148">
        <f>IF(AA148="",0,IF(COUNTIF($AA$1:AA148,AA148)=1,1,0))</f>
        <v>0</v>
      </c>
      <c r="AC148" t="str">
        <f>IF(AB148=1,COUNTIF($AB$1:AB148,1),"")</f>
        <v/>
      </c>
    </row>
    <row r="149" spans="1:29" x14ac:dyDescent="0.25">
      <c r="A149" s="13" t="str">
        <f>IFERROR(INDEX($AA$1:$AA$400,MATCH(146,$AC$1:$AC$400,0)),"")</f>
        <v/>
      </c>
      <c r="B149" s="13" t="str">
        <f>IF($A149="","",IF(IFERROR(INDEX(Barneveld!$E$40:$E$139,MATCH($A149,Barneveld!$C$40:$C$139,0)),"")&lt;&gt;"",IFERROR(INDEX(Barneveld!$E$40:$E$139,MATCH($A149,Barneveld!$C$40:$C$139,0)),""),IF(IFERROR(INDEX(Scherpenzeel!$F$107:$F$206,MATCH($A149,Scherpenzeel!$C$107:$C$206,0)),"")&lt;&gt;"",IFERROR(INDEX(Scherpenzeel!$F$107:$F$206,MATCH($A149,Scherpenzeel!$C$107:$C$206,0)),""),IF(IFERROR(INDEX('4'!$F$107:$F$206,MATCH($A149,'4'!$C$107:$C$206,0)),"")&lt;&gt;"",IFERROR(INDEX('4'!$F$107:$F$206,MATCH($A149,'4'!$C$107:$C$206,0)),""),IFERROR(INDEX('5'!$F$107:$F$206,MATCH($A149,'5'!$C$107:$C$206,0)),"")))))</f>
        <v/>
      </c>
      <c r="C149" s="24" t="str">
        <f>IF($A149="","",IFERROR(INDEX(Barneveld!$A$40:$A$139,MATCH($A149,Barneveld!$C$40:$C$139,0)),""))</f>
        <v/>
      </c>
      <c r="D149" s="15">
        <f>IF($A149="",0,IFERROR(INDEX(Barneveld!$H$40:$H$139,MATCH($A149,Barneveld!$C$40:$C$139,0)),0))</f>
        <v>0</v>
      </c>
      <c r="E149" s="24" t="str">
        <f>""</f>
        <v/>
      </c>
      <c r="F149" s="15">
        <f>0</f>
        <v>0</v>
      </c>
      <c r="G149" s="24" t="str">
        <f>IF($A149="","",IFERROR(INDEX(Scherpenzeel!$A$107:$A$206,MATCH($A149,Scherpenzeel!$C$107:$C$206,0)),""))</f>
        <v/>
      </c>
      <c r="H149" s="15">
        <f>IF($A149="",0,IFERROR(INDEX(Scherpenzeel!$I$107:$I$206,MATCH($A149,Scherpenzeel!$C$107:$C$206,0)),0))</f>
        <v>0</v>
      </c>
      <c r="I149" s="24" t="str">
        <f>IF($A149="","",IFERROR(INDEX('4'!$A$107:$A$206,MATCH($A149,'4'!$C$107:$C$206,0)),""))</f>
        <v/>
      </c>
      <c r="J149" s="15">
        <f>IF($A149="",0,IFERROR(INDEX('4'!$I$107:$I$206,MATCH($A149,'4'!$C$107:$C$206,0)),0))</f>
        <v>0</v>
      </c>
      <c r="K149" s="24" t="str">
        <f>IF($A149="","",IFERROR(INDEX('5'!$A$107:$A$206,MATCH($A149,'5'!$C$107:$C$206,0)),""))</f>
        <v/>
      </c>
      <c r="L149" s="15">
        <f>IF($A149="",0,IFERROR(INDEX('5'!$I$107:$I$206,MATCH($A149,'5'!$C$107:$C$206,0)),0))</f>
        <v>0</v>
      </c>
      <c r="M149" s="25" t="str">
        <f>IF($A149="","",D149+F149+H149+J149+L149)</f>
        <v/>
      </c>
      <c r="N149" s="26" t="str">
        <f>IF(OR($A149="",M149="",M149=0),"",RANK(M149,$M$4:$M$203,0))</f>
        <v/>
      </c>
      <c r="AA149">
        <f>Scherpenzeel!C155</f>
        <v>0</v>
      </c>
      <c r="AB149">
        <f>IF(AA149="",0,IF(COUNTIF($AA$1:AA149,AA149)=1,1,0))</f>
        <v>0</v>
      </c>
      <c r="AC149" t="str">
        <f>IF(AB149=1,COUNTIF($AB$1:AB149,1),"")</f>
        <v/>
      </c>
    </row>
    <row r="150" spans="1:29" x14ac:dyDescent="0.25">
      <c r="A150" s="13" t="str">
        <f>IFERROR(INDEX($AA$1:$AA$400,MATCH(147,$AC$1:$AC$400,0)),"")</f>
        <v/>
      </c>
      <c r="B150" s="13" t="str">
        <f>IF($A150="","",IF(IFERROR(INDEX(Barneveld!$E$40:$E$139,MATCH($A150,Barneveld!$C$40:$C$139,0)),"")&lt;&gt;"",IFERROR(INDEX(Barneveld!$E$40:$E$139,MATCH($A150,Barneveld!$C$40:$C$139,0)),""),IF(IFERROR(INDEX(Scherpenzeel!$F$107:$F$206,MATCH($A150,Scherpenzeel!$C$107:$C$206,0)),"")&lt;&gt;"",IFERROR(INDEX(Scherpenzeel!$F$107:$F$206,MATCH($A150,Scherpenzeel!$C$107:$C$206,0)),""),IF(IFERROR(INDEX('4'!$F$107:$F$206,MATCH($A150,'4'!$C$107:$C$206,0)),"")&lt;&gt;"",IFERROR(INDEX('4'!$F$107:$F$206,MATCH($A150,'4'!$C$107:$C$206,0)),""),IFERROR(INDEX('5'!$F$107:$F$206,MATCH($A150,'5'!$C$107:$C$206,0)),"")))))</f>
        <v/>
      </c>
      <c r="C150" s="24" t="str">
        <f>IF($A150="","",IFERROR(INDEX(Barneveld!$A$40:$A$139,MATCH($A150,Barneveld!$C$40:$C$139,0)),""))</f>
        <v/>
      </c>
      <c r="D150" s="15">
        <f>IF($A150="",0,IFERROR(INDEX(Barneveld!$H$40:$H$139,MATCH($A150,Barneveld!$C$40:$C$139,0)),0))</f>
        <v>0</v>
      </c>
      <c r="E150" s="24" t="str">
        <f>""</f>
        <v/>
      </c>
      <c r="F150" s="15">
        <f>0</f>
        <v>0</v>
      </c>
      <c r="G150" s="24" t="str">
        <f>IF($A150="","",IFERROR(INDEX(Scherpenzeel!$A$107:$A$206,MATCH($A150,Scherpenzeel!$C$107:$C$206,0)),""))</f>
        <v/>
      </c>
      <c r="H150" s="15">
        <f>IF($A150="",0,IFERROR(INDEX(Scherpenzeel!$I$107:$I$206,MATCH($A150,Scherpenzeel!$C$107:$C$206,0)),0))</f>
        <v>0</v>
      </c>
      <c r="I150" s="24" t="str">
        <f>IF($A150="","",IFERROR(INDEX('4'!$A$107:$A$206,MATCH($A150,'4'!$C$107:$C$206,0)),""))</f>
        <v/>
      </c>
      <c r="J150" s="15">
        <f>IF($A150="",0,IFERROR(INDEX('4'!$I$107:$I$206,MATCH($A150,'4'!$C$107:$C$206,0)),0))</f>
        <v>0</v>
      </c>
      <c r="K150" s="24" t="str">
        <f>IF($A150="","",IFERROR(INDEX('5'!$A$107:$A$206,MATCH($A150,'5'!$C$107:$C$206,0)),""))</f>
        <v/>
      </c>
      <c r="L150" s="15">
        <f>IF($A150="",0,IFERROR(INDEX('5'!$I$107:$I$206,MATCH($A150,'5'!$C$107:$C$206,0)),0))</f>
        <v>0</v>
      </c>
      <c r="M150" s="25" t="str">
        <f>IF($A150="","",D150+F150+H150+J150+L150)</f>
        <v/>
      </c>
      <c r="N150" s="26" t="str">
        <f>IF(OR($A150="",M150="",M150=0),"",RANK(M150,$M$4:$M$203,0))</f>
        <v/>
      </c>
      <c r="AA150">
        <f>Scherpenzeel!C156</f>
        <v>0</v>
      </c>
      <c r="AB150">
        <f>IF(AA150="",0,IF(COUNTIF($AA$1:AA150,AA150)=1,1,0))</f>
        <v>0</v>
      </c>
      <c r="AC150" t="str">
        <f>IF(AB150=1,COUNTIF($AB$1:AB150,1),"")</f>
        <v/>
      </c>
    </row>
    <row r="151" spans="1:29" x14ac:dyDescent="0.25">
      <c r="A151" s="13" t="str">
        <f>IFERROR(INDEX($AA$1:$AA$400,MATCH(148,$AC$1:$AC$400,0)),"")</f>
        <v/>
      </c>
      <c r="B151" s="13" t="str">
        <f>IF($A151="","",IF(IFERROR(INDEX(Barneveld!$E$40:$E$139,MATCH($A151,Barneveld!$C$40:$C$139,0)),"")&lt;&gt;"",IFERROR(INDEX(Barneveld!$E$40:$E$139,MATCH($A151,Barneveld!$C$40:$C$139,0)),""),IF(IFERROR(INDEX(Scherpenzeel!$F$107:$F$206,MATCH($A151,Scherpenzeel!$C$107:$C$206,0)),"")&lt;&gt;"",IFERROR(INDEX(Scherpenzeel!$F$107:$F$206,MATCH($A151,Scherpenzeel!$C$107:$C$206,0)),""),IF(IFERROR(INDEX('4'!$F$107:$F$206,MATCH($A151,'4'!$C$107:$C$206,0)),"")&lt;&gt;"",IFERROR(INDEX('4'!$F$107:$F$206,MATCH($A151,'4'!$C$107:$C$206,0)),""),IFERROR(INDEX('5'!$F$107:$F$206,MATCH($A151,'5'!$C$107:$C$206,0)),"")))))</f>
        <v/>
      </c>
      <c r="C151" s="24" t="str">
        <f>IF($A151="","",IFERROR(INDEX(Barneveld!$A$40:$A$139,MATCH($A151,Barneveld!$C$40:$C$139,0)),""))</f>
        <v/>
      </c>
      <c r="D151" s="15">
        <f>IF($A151="",0,IFERROR(INDEX(Barneveld!$H$40:$H$139,MATCH($A151,Barneveld!$C$40:$C$139,0)),0))</f>
        <v>0</v>
      </c>
      <c r="E151" s="24" t="str">
        <f>""</f>
        <v/>
      </c>
      <c r="F151" s="15">
        <f>0</f>
        <v>0</v>
      </c>
      <c r="G151" s="24" t="str">
        <f>IF($A151="","",IFERROR(INDEX(Scherpenzeel!$A$107:$A$206,MATCH($A151,Scherpenzeel!$C$107:$C$206,0)),""))</f>
        <v/>
      </c>
      <c r="H151" s="15">
        <f>IF($A151="",0,IFERROR(INDEX(Scherpenzeel!$I$107:$I$206,MATCH($A151,Scherpenzeel!$C$107:$C$206,0)),0))</f>
        <v>0</v>
      </c>
      <c r="I151" s="24" t="str">
        <f>IF($A151="","",IFERROR(INDEX('4'!$A$107:$A$206,MATCH($A151,'4'!$C$107:$C$206,0)),""))</f>
        <v/>
      </c>
      <c r="J151" s="15">
        <f>IF($A151="",0,IFERROR(INDEX('4'!$I$107:$I$206,MATCH($A151,'4'!$C$107:$C$206,0)),0))</f>
        <v>0</v>
      </c>
      <c r="K151" s="24" t="str">
        <f>IF($A151="","",IFERROR(INDEX('5'!$A$107:$A$206,MATCH($A151,'5'!$C$107:$C$206,0)),""))</f>
        <v/>
      </c>
      <c r="L151" s="15">
        <f>IF($A151="",0,IFERROR(INDEX('5'!$I$107:$I$206,MATCH($A151,'5'!$C$107:$C$206,0)),0))</f>
        <v>0</v>
      </c>
      <c r="M151" s="25" t="str">
        <f>IF($A151="","",D151+F151+H151+J151+L151)</f>
        <v/>
      </c>
      <c r="N151" s="26" t="str">
        <f>IF(OR($A151="",M151="",M151=0),"",RANK(M151,$M$4:$M$203,0))</f>
        <v/>
      </c>
      <c r="AA151">
        <f>Scherpenzeel!C157</f>
        <v>0</v>
      </c>
      <c r="AB151">
        <f>IF(AA151="",0,IF(COUNTIF($AA$1:AA151,AA151)=1,1,0))</f>
        <v>0</v>
      </c>
      <c r="AC151" t="str">
        <f>IF(AB151=1,COUNTIF($AB$1:AB151,1),"")</f>
        <v/>
      </c>
    </row>
    <row r="152" spans="1:29" x14ac:dyDescent="0.25">
      <c r="A152" s="13" t="str">
        <f>IFERROR(INDEX($AA$1:$AA$400,MATCH(149,$AC$1:$AC$400,0)),"")</f>
        <v/>
      </c>
      <c r="B152" s="13" t="str">
        <f>IF($A152="","",IF(IFERROR(INDEX(Barneveld!$E$40:$E$139,MATCH($A152,Barneveld!$C$40:$C$139,0)),"")&lt;&gt;"",IFERROR(INDEX(Barneveld!$E$40:$E$139,MATCH($A152,Barneveld!$C$40:$C$139,0)),""),IF(IFERROR(INDEX(Scherpenzeel!$F$107:$F$206,MATCH($A152,Scherpenzeel!$C$107:$C$206,0)),"")&lt;&gt;"",IFERROR(INDEX(Scherpenzeel!$F$107:$F$206,MATCH($A152,Scherpenzeel!$C$107:$C$206,0)),""),IF(IFERROR(INDEX('4'!$F$107:$F$206,MATCH($A152,'4'!$C$107:$C$206,0)),"")&lt;&gt;"",IFERROR(INDEX('4'!$F$107:$F$206,MATCH($A152,'4'!$C$107:$C$206,0)),""),IFERROR(INDEX('5'!$F$107:$F$206,MATCH($A152,'5'!$C$107:$C$206,0)),"")))))</f>
        <v/>
      </c>
      <c r="C152" s="24" t="str">
        <f>IF($A152="","",IFERROR(INDEX(Barneveld!$A$40:$A$139,MATCH($A152,Barneveld!$C$40:$C$139,0)),""))</f>
        <v/>
      </c>
      <c r="D152" s="15">
        <f>IF($A152="",0,IFERROR(INDEX(Barneveld!$H$40:$H$139,MATCH($A152,Barneveld!$C$40:$C$139,0)),0))</f>
        <v>0</v>
      </c>
      <c r="E152" s="24" t="str">
        <f>""</f>
        <v/>
      </c>
      <c r="F152" s="15">
        <f>0</f>
        <v>0</v>
      </c>
      <c r="G152" s="24" t="str">
        <f>IF($A152="","",IFERROR(INDEX(Scherpenzeel!$A$107:$A$206,MATCH($A152,Scherpenzeel!$C$107:$C$206,0)),""))</f>
        <v/>
      </c>
      <c r="H152" s="15">
        <f>IF($A152="",0,IFERROR(INDEX(Scherpenzeel!$I$107:$I$206,MATCH($A152,Scherpenzeel!$C$107:$C$206,0)),0))</f>
        <v>0</v>
      </c>
      <c r="I152" s="24" t="str">
        <f>IF($A152="","",IFERROR(INDEX('4'!$A$107:$A$206,MATCH($A152,'4'!$C$107:$C$206,0)),""))</f>
        <v/>
      </c>
      <c r="J152" s="15">
        <f>IF($A152="",0,IFERROR(INDEX('4'!$I$107:$I$206,MATCH($A152,'4'!$C$107:$C$206,0)),0))</f>
        <v>0</v>
      </c>
      <c r="K152" s="24" t="str">
        <f>IF($A152="","",IFERROR(INDEX('5'!$A$107:$A$206,MATCH($A152,'5'!$C$107:$C$206,0)),""))</f>
        <v/>
      </c>
      <c r="L152" s="15">
        <f>IF($A152="",0,IFERROR(INDEX('5'!$I$107:$I$206,MATCH($A152,'5'!$C$107:$C$206,0)),0))</f>
        <v>0</v>
      </c>
      <c r="M152" s="25" t="str">
        <f>IF($A152="","",D152+F152+H152+J152+L152)</f>
        <v/>
      </c>
      <c r="N152" s="26" t="str">
        <f>IF(OR($A152="",M152="",M152=0),"",RANK(M152,$M$4:$M$203,0))</f>
        <v/>
      </c>
      <c r="AA152">
        <f>Scherpenzeel!C158</f>
        <v>0</v>
      </c>
      <c r="AB152">
        <f>IF(AA152="",0,IF(COUNTIF($AA$1:AA152,AA152)=1,1,0))</f>
        <v>0</v>
      </c>
      <c r="AC152" t="str">
        <f>IF(AB152=1,COUNTIF($AB$1:AB152,1),"")</f>
        <v/>
      </c>
    </row>
    <row r="153" spans="1:29" x14ac:dyDescent="0.25">
      <c r="A153" s="13" t="str">
        <f>IFERROR(INDEX($AA$1:$AA$400,MATCH(150,$AC$1:$AC$400,0)),"")</f>
        <v/>
      </c>
      <c r="B153" s="13" t="str">
        <f>IF($A153="","",IF(IFERROR(INDEX(Barneveld!$E$40:$E$139,MATCH($A153,Barneveld!$C$40:$C$139,0)),"")&lt;&gt;"",IFERROR(INDEX(Barneveld!$E$40:$E$139,MATCH($A153,Barneveld!$C$40:$C$139,0)),""),IF(IFERROR(INDEX(Scherpenzeel!$F$107:$F$206,MATCH($A153,Scherpenzeel!$C$107:$C$206,0)),"")&lt;&gt;"",IFERROR(INDEX(Scherpenzeel!$F$107:$F$206,MATCH($A153,Scherpenzeel!$C$107:$C$206,0)),""),IF(IFERROR(INDEX('4'!$F$107:$F$206,MATCH($A153,'4'!$C$107:$C$206,0)),"")&lt;&gt;"",IFERROR(INDEX('4'!$F$107:$F$206,MATCH($A153,'4'!$C$107:$C$206,0)),""),IFERROR(INDEX('5'!$F$107:$F$206,MATCH($A153,'5'!$C$107:$C$206,0)),"")))))</f>
        <v/>
      </c>
      <c r="C153" s="24" t="str">
        <f>IF($A153="","",IFERROR(INDEX(Barneveld!$A$40:$A$139,MATCH($A153,Barneveld!$C$40:$C$139,0)),""))</f>
        <v/>
      </c>
      <c r="D153" s="15">
        <f>IF($A153="",0,IFERROR(INDEX(Barneveld!$H$40:$H$139,MATCH($A153,Barneveld!$C$40:$C$139,0)),0))</f>
        <v>0</v>
      </c>
      <c r="E153" s="24" t="str">
        <f>""</f>
        <v/>
      </c>
      <c r="F153" s="15">
        <f>0</f>
        <v>0</v>
      </c>
      <c r="G153" s="24" t="str">
        <f>IF($A153="","",IFERROR(INDEX(Scherpenzeel!$A$107:$A$206,MATCH($A153,Scherpenzeel!$C$107:$C$206,0)),""))</f>
        <v/>
      </c>
      <c r="H153" s="15">
        <f>IF($A153="",0,IFERROR(INDEX(Scherpenzeel!$I$107:$I$206,MATCH($A153,Scherpenzeel!$C$107:$C$206,0)),0))</f>
        <v>0</v>
      </c>
      <c r="I153" s="24" t="str">
        <f>IF($A153="","",IFERROR(INDEX('4'!$A$107:$A$206,MATCH($A153,'4'!$C$107:$C$206,0)),""))</f>
        <v/>
      </c>
      <c r="J153" s="15">
        <f>IF($A153="",0,IFERROR(INDEX('4'!$I$107:$I$206,MATCH($A153,'4'!$C$107:$C$206,0)),0))</f>
        <v>0</v>
      </c>
      <c r="K153" s="24" t="str">
        <f>IF($A153="","",IFERROR(INDEX('5'!$A$107:$A$206,MATCH($A153,'5'!$C$107:$C$206,0)),""))</f>
        <v/>
      </c>
      <c r="L153" s="15">
        <f>IF($A153="",0,IFERROR(INDEX('5'!$I$107:$I$206,MATCH($A153,'5'!$C$107:$C$206,0)),0))</f>
        <v>0</v>
      </c>
      <c r="M153" s="25" t="str">
        <f>IF($A153="","",D153+F153+H153+J153+L153)</f>
        <v/>
      </c>
      <c r="N153" s="26" t="str">
        <f>IF(OR($A153="",M153="",M153=0),"",RANK(M153,$M$4:$M$203,0))</f>
        <v/>
      </c>
      <c r="AA153">
        <f>Scherpenzeel!C159</f>
        <v>0</v>
      </c>
      <c r="AB153">
        <f>IF(AA153="",0,IF(COUNTIF($AA$1:AA153,AA153)=1,1,0))</f>
        <v>0</v>
      </c>
      <c r="AC153" t="str">
        <f>IF(AB153=1,COUNTIF($AB$1:AB153,1),"")</f>
        <v/>
      </c>
    </row>
    <row r="154" spans="1:29" x14ac:dyDescent="0.25">
      <c r="A154" s="13" t="str">
        <f>IFERROR(INDEX($AA$1:$AA$400,MATCH(151,$AC$1:$AC$400,0)),"")</f>
        <v/>
      </c>
      <c r="B154" s="13" t="str">
        <f>IF($A154="","",IF(IFERROR(INDEX(Barneveld!$E$40:$E$139,MATCH($A154,Barneveld!$C$40:$C$139,0)),"")&lt;&gt;"",IFERROR(INDEX(Barneveld!$E$40:$E$139,MATCH($A154,Barneveld!$C$40:$C$139,0)),""),IF(IFERROR(INDEX(Scherpenzeel!$F$107:$F$206,MATCH($A154,Scherpenzeel!$C$107:$C$206,0)),"")&lt;&gt;"",IFERROR(INDEX(Scherpenzeel!$F$107:$F$206,MATCH($A154,Scherpenzeel!$C$107:$C$206,0)),""),IF(IFERROR(INDEX('4'!$F$107:$F$206,MATCH($A154,'4'!$C$107:$C$206,0)),"")&lt;&gt;"",IFERROR(INDEX('4'!$F$107:$F$206,MATCH($A154,'4'!$C$107:$C$206,0)),""),IFERROR(INDEX('5'!$F$107:$F$206,MATCH($A154,'5'!$C$107:$C$206,0)),"")))))</f>
        <v/>
      </c>
      <c r="C154" s="24" t="str">
        <f>IF($A154="","",IFERROR(INDEX(Barneveld!$A$40:$A$139,MATCH($A154,Barneveld!$C$40:$C$139,0)),""))</f>
        <v/>
      </c>
      <c r="D154" s="15">
        <f>IF($A154="",0,IFERROR(INDEX(Barneveld!$H$40:$H$139,MATCH($A154,Barneveld!$C$40:$C$139,0)),0))</f>
        <v>0</v>
      </c>
      <c r="E154" s="24" t="str">
        <f>""</f>
        <v/>
      </c>
      <c r="F154" s="15">
        <f>0</f>
        <v>0</v>
      </c>
      <c r="G154" s="24" t="str">
        <f>IF($A154="","",IFERROR(INDEX(Scherpenzeel!$A$107:$A$206,MATCH($A154,Scherpenzeel!$C$107:$C$206,0)),""))</f>
        <v/>
      </c>
      <c r="H154" s="15">
        <f>IF($A154="",0,IFERROR(INDEX(Scherpenzeel!$I$107:$I$206,MATCH($A154,Scherpenzeel!$C$107:$C$206,0)),0))</f>
        <v>0</v>
      </c>
      <c r="I154" s="24" t="str">
        <f>IF($A154="","",IFERROR(INDEX('4'!$A$107:$A$206,MATCH($A154,'4'!$C$107:$C$206,0)),""))</f>
        <v/>
      </c>
      <c r="J154" s="15">
        <f>IF($A154="",0,IFERROR(INDEX('4'!$I$107:$I$206,MATCH($A154,'4'!$C$107:$C$206,0)),0))</f>
        <v>0</v>
      </c>
      <c r="K154" s="24" t="str">
        <f>IF($A154="","",IFERROR(INDEX('5'!$A$107:$A$206,MATCH($A154,'5'!$C$107:$C$206,0)),""))</f>
        <v/>
      </c>
      <c r="L154" s="15">
        <f>IF($A154="",0,IFERROR(INDEX('5'!$I$107:$I$206,MATCH($A154,'5'!$C$107:$C$206,0)),0))</f>
        <v>0</v>
      </c>
      <c r="M154" s="25" t="str">
        <f>IF($A154="","",D154+F154+H154+J154+L154)</f>
        <v/>
      </c>
      <c r="N154" s="26" t="str">
        <f>IF(OR($A154="",M154="",M154=0),"",RANK(M154,$M$4:$M$203,0))</f>
        <v/>
      </c>
      <c r="AA154">
        <f>Scherpenzeel!C160</f>
        <v>0</v>
      </c>
      <c r="AB154">
        <f>IF(AA154="",0,IF(COUNTIF($AA$1:AA154,AA154)=1,1,0))</f>
        <v>0</v>
      </c>
      <c r="AC154" t="str">
        <f>IF(AB154=1,COUNTIF($AB$1:AB154,1),"")</f>
        <v/>
      </c>
    </row>
    <row r="155" spans="1:29" x14ac:dyDescent="0.25">
      <c r="A155" s="13" t="str">
        <f>IFERROR(INDEX($AA$1:$AA$400,MATCH(152,$AC$1:$AC$400,0)),"")</f>
        <v/>
      </c>
      <c r="B155" s="13" t="str">
        <f>IF($A155="","",IF(IFERROR(INDEX(Barneveld!$E$40:$E$139,MATCH($A155,Barneveld!$C$40:$C$139,0)),"")&lt;&gt;"",IFERROR(INDEX(Barneveld!$E$40:$E$139,MATCH($A155,Barneveld!$C$40:$C$139,0)),""),IF(IFERROR(INDEX(Scherpenzeel!$F$107:$F$206,MATCH($A155,Scherpenzeel!$C$107:$C$206,0)),"")&lt;&gt;"",IFERROR(INDEX(Scherpenzeel!$F$107:$F$206,MATCH($A155,Scherpenzeel!$C$107:$C$206,0)),""),IF(IFERROR(INDEX('4'!$F$107:$F$206,MATCH($A155,'4'!$C$107:$C$206,0)),"")&lt;&gt;"",IFERROR(INDEX('4'!$F$107:$F$206,MATCH($A155,'4'!$C$107:$C$206,0)),""),IFERROR(INDEX('5'!$F$107:$F$206,MATCH($A155,'5'!$C$107:$C$206,0)),"")))))</f>
        <v/>
      </c>
      <c r="C155" s="24" t="str">
        <f>IF($A155="","",IFERROR(INDEX(Barneveld!$A$40:$A$139,MATCH($A155,Barneveld!$C$40:$C$139,0)),""))</f>
        <v/>
      </c>
      <c r="D155" s="15">
        <f>IF($A155="",0,IFERROR(INDEX(Barneveld!$H$40:$H$139,MATCH($A155,Barneveld!$C$40:$C$139,0)),0))</f>
        <v>0</v>
      </c>
      <c r="E155" s="24" t="str">
        <f>""</f>
        <v/>
      </c>
      <c r="F155" s="15">
        <f>0</f>
        <v>0</v>
      </c>
      <c r="G155" s="24" t="str">
        <f>IF($A155="","",IFERROR(INDEX(Scherpenzeel!$A$107:$A$206,MATCH($A155,Scherpenzeel!$C$107:$C$206,0)),""))</f>
        <v/>
      </c>
      <c r="H155" s="15">
        <f>IF($A155="",0,IFERROR(INDEX(Scherpenzeel!$I$107:$I$206,MATCH($A155,Scherpenzeel!$C$107:$C$206,0)),0))</f>
        <v>0</v>
      </c>
      <c r="I155" s="24" t="str">
        <f>IF($A155="","",IFERROR(INDEX('4'!$A$107:$A$206,MATCH($A155,'4'!$C$107:$C$206,0)),""))</f>
        <v/>
      </c>
      <c r="J155" s="15">
        <f>IF($A155="",0,IFERROR(INDEX('4'!$I$107:$I$206,MATCH($A155,'4'!$C$107:$C$206,0)),0))</f>
        <v>0</v>
      </c>
      <c r="K155" s="24" t="str">
        <f>IF($A155="","",IFERROR(INDEX('5'!$A$107:$A$206,MATCH($A155,'5'!$C$107:$C$206,0)),""))</f>
        <v/>
      </c>
      <c r="L155" s="15">
        <f>IF($A155="",0,IFERROR(INDEX('5'!$I$107:$I$206,MATCH($A155,'5'!$C$107:$C$206,0)),0))</f>
        <v>0</v>
      </c>
      <c r="M155" s="25" t="str">
        <f>IF($A155="","",D155+F155+H155+J155+L155)</f>
        <v/>
      </c>
      <c r="N155" s="26" t="str">
        <f>IF(OR($A155="",M155="",M155=0),"",RANK(M155,$M$4:$M$203,0))</f>
        <v/>
      </c>
      <c r="AA155">
        <f>Scherpenzeel!C161</f>
        <v>0</v>
      </c>
      <c r="AB155">
        <f>IF(AA155="",0,IF(COUNTIF($AA$1:AA155,AA155)=1,1,0))</f>
        <v>0</v>
      </c>
      <c r="AC155" t="str">
        <f>IF(AB155=1,COUNTIF($AB$1:AB155,1),"")</f>
        <v/>
      </c>
    </row>
    <row r="156" spans="1:29" x14ac:dyDescent="0.25">
      <c r="A156" s="13" t="str">
        <f>IFERROR(INDEX($AA$1:$AA$400,MATCH(153,$AC$1:$AC$400,0)),"")</f>
        <v/>
      </c>
      <c r="B156" s="13" t="str">
        <f>IF($A156="","",IF(IFERROR(INDEX(Barneveld!$E$40:$E$139,MATCH($A156,Barneveld!$C$40:$C$139,0)),"")&lt;&gt;"",IFERROR(INDEX(Barneveld!$E$40:$E$139,MATCH($A156,Barneveld!$C$40:$C$139,0)),""),IF(IFERROR(INDEX(Scherpenzeel!$F$107:$F$206,MATCH($A156,Scherpenzeel!$C$107:$C$206,0)),"")&lt;&gt;"",IFERROR(INDEX(Scherpenzeel!$F$107:$F$206,MATCH($A156,Scherpenzeel!$C$107:$C$206,0)),""),IF(IFERROR(INDEX('4'!$F$107:$F$206,MATCH($A156,'4'!$C$107:$C$206,0)),"")&lt;&gt;"",IFERROR(INDEX('4'!$F$107:$F$206,MATCH($A156,'4'!$C$107:$C$206,0)),""),IFERROR(INDEX('5'!$F$107:$F$206,MATCH($A156,'5'!$C$107:$C$206,0)),"")))))</f>
        <v/>
      </c>
      <c r="C156" s="24" t="str">
        <f>IF($A156="","",IFERROR(INDEX(Barneveld!$A$40:$A$139,MATCH($A156,Barneveld!$C$40:$C$139,0)),""))</f>
        <v/>
      </c>
      <c r="D156" s="15">
        <f>IF($A156="",0,IFERROR(INDEX(Barneveld!$H$40:$H$139,MATCH($A156,Barneveld!$C$40:$C$139,0)),0))</f>
        <v>0</v>
      </c>
      <c r="E156" s="24" t="str">
        <f>""</f>
        <v/>
      </c>
      <c r="F156" s="15">
        <f>0</f>
        <v>0</v>
      </c>
      <c r="G156" s="24" t="str">
        <f>IF($A156="","",IFERROR(INDEX(Scherpenzeel!$A$107:$A$206,MATCH($A156,Scherpenzeel!$C$107:$C$206,0)),""))</f>
        <v/>
      </c>
      <c r="H156" s="15">
        <f>IF($A156="",0,IFERROR(INDEX(Scherpenzeel!$I$107:$I$206,MATCH($A156,Scherpenzeel!$C$107:$C$206,0)),0))</f>
        <v>0</v>
      </c>
      <c r="I156" s="24" t="str">
        <f>IF($A156="","",IFERROR(INDEX('4'!$A$107:$A$206,MATCH($A156,'4'!$C$107:$C$206,0)),""))</f>
        <v/>
      </c>
      <c r="J156" s="15">
        <f>IF($A156="",0,IFERROR(INDEX('4'!$I$107:$I$206,MATCH($A156,'4'!$C$107:$C$206,0)),0))</f>
        <v>0</v>
      </c>
      <c r="K156" s="24" t="str">
        <f>IF($A156="","",IFERROR(INDEX('5'!$A$107:$A$206,MATCH($A156,'5'!$C$107:$C$206,0)),""))</f>
        <v/>
      </c>
      <c r="L156" s="15">
        <f>IF($A156="",0,IFERROR(INDEX('5'!$I$107:$I$206,MATCH($A156,'5'!$C$107:$C$206,0)),0))</f>
        <v>0</v>
      </c>
      <c r="M156" s="25" t="str">
        <f>IF($A156="","",D156+F156+H156+J156+L156)</f>
        <v/>
      </c>
      <c r="N156" s="26" t="str">
        <f>IF(OR($A156="",M156="",M156=0),"",RANK(M156,$M$4:$M$203,0))</f>
        <v/>
      </c>
      <c r="AA156">
        <f>Scherpenzeel!C162</f>
        <v>0</v>
      </c>
      <c r="AB156">
        <f>IF(AA156="",0,IF(COUNTIF($AA$1:AA156,AA156)=1,1,0))</f>
        <v>0</v>
      </c>
      <c r="AC156" t="str">
        <f>IF(AB156=1,COUNTIF($AB$1:AB156,1),"")</f>
        <v/>
      </c>
    </row>
    <row r="157" spans="1:29" x14ac:dyDescent="0.25">
      <c r="A157" s="13" t="str">
        <f>IFERROR(INDEX($AA$1:$AA$400,MATCH(154,$AC$1:$AC$400,0)),"")</f>
        <v/>
      </c>
      <c r="B157" s="13" t="str">
        <f>IF($A157="","",IF(IFERROR(INDEX(Barneveld!$E$40:$E$139,MATCH($A157,Barneveld!$C$40:$C$139,0)),"")&lt;&gt;"",IFERROR(INDEX(Barneveld!$E$40:$E$139,MATCH($A157,Barneveld!$C$40:$C$139,0)),""),IF(IFERROR(INDEX(Scherpenzeel!$F$107:$F$206,MATCH($A157,Scherpenzeel!$C$107:$C$206,0)),"")&lt;&gt;"",IFERROR(INDEX(Scherpenzeel!$F$107:$F$206,MATCH($A157,Scherpenzeel!$C$107:$C$206,0)),""),IF(IFERROR(INDEX('4'!$F$107:$F$206,MATCH($A157,'4'!$C$107:$C$206,0)),"")&lt;&gt;"",IFERROR(INDEX('4'!$F$107:$F$206,MATCH($A157,'4'!$C$107:$C$206,0)),""),IFERROR(INDEX('5'!$F$107:$F$206,MATCH($A157,'5'!$C$107:$C$206,0)),"")))))</f>
        <v/>
      </c>
      <c r="C157" s="24" t="str">
        <f>IF($A157="","",IFERROR(INDEX(Barneveld!$A$40:$A$139,MATCH($A157,Barneveld!$C$40:$C$139,0)),""))</f>
        <v/>
      </c>
      <c r="D157" s="15">
        <f>IF($A157="",0,IFERROR(INDEX(Barneveld!$H$40:$H$139,MATCH($A157,Barneveld!$C$40:$C$139,0)),0))</f>
        <v>0</v>
      </c>
      <c r="E157" s="24" t="str">
        <f>""</f>
        <v/>
      </c>
      <c r="F157" s="15">
        <f>0</f>
        <v>0</v>
      </c>
      <c r="G157" s="24" t="str">
        <f>IF($A157="","",IFERROR(INDEX(Scherpenzeel!$A$107:$A$206,MATCH($A157,Scherpenzeel!$C$107:$C$206,0)),""))</f>
        <v/>
      </c>
      <c r="H157" s="15">
        <f>IF($A157="",0,IFERROR(INDEX(Scherpenzeel!$I$107:$I$206,MATCH($A157,Scherpenzeel!$C$107:$C$206,0)),0))</f>
        <v>0</v>
      </c>
      <c r="I157" s="24" t="str">
        <f>IF($A157="","",IFERROR(INDEX('4'!$A$107:$A$206,MATCH($A157,'4'!$C$107:$C$206,0)),""))</f>
        <v/>
      </c>
      <c r="J157" s="15">
        <f>IF($A157="",0,IFERROR(INDEX('4'!$I$107:$I$206,MATCH($A157,'4'!$C$107:$C$206,0)),0))</f>
        <v>0</v>
      </c>
      <c r="K157" s="24" t="str">
        <f>IF($A157="","",IFERROR(INDEX('5'!$A$107:$A$206,MATCH($A157,'5'!$C$107:$C$206,0)),""))</f>
        <v/>
      </c>
      <c r="L157" s="15">
        <f>IF($A157="",0,IFERROR(INDEX('5'!$I$107:$I$206,MATCH($A157,'5'!$C$107:$C$206,0)),0))</f>
        <v>0</v>
      </c>
      <c r="M157" s="25" t="str">
        <f>IF($A157="","",D157+F157+H157+J157+L157)</f>
        <v/>
      </c>
      <c r="N157" s="26" t="str">
        <f>IF(OR($A157="",M157="",M157=0),"",RANK(M157,$M$4:$M$203,0))</f>
        <v/>
      </c>
      <c r="AA157">
        <f>Scherpenzeel!C163</f>
        <v>0</v>
      </c>
      <c r="AB157">
        <f>IF(AA157="",0,IF(COUNTIF($AA$1:AA157,AA157)=1,1,0))</f>
        <v>0</v>
      </c>
      <c r="AC157" t="str">
        <f>IF(AB157=1,COUNTIF($AB$1:AB157,1),"")</f>
        <v/>
      </c>
    </row>
    <row r="158" spans="1:29" x14ac:dyDescent="0.25">
      <c r="A158" s="13" t="str">
        <f>IFERROR(INDEX($AA$1:$AA$400,MATCH(155,$AC$1:$AC$400,0)),"")</f>
        <v/>
      </c>
      <c r="B158" s="13" t="str">
        <f>IF($A158="","",IF(IFERROR(INDEX(Barneveld!$E$40:$E$139,MATCH($A158,Barneveld!$C$40:$C$139,0)),"")&lt;&gt;"",IFERROR(INDEX(Barneveld!$E$40:$E$139,MATCH($A158,Barneveld!$C$40:$C$139,0)),""),IF(IFERROR(INDEX(Scherpenzeel!$F$107:$F$206,MATCH($A158,Scherpenzeel!$C$107:$C$206,0)),"")&lt;&gt;"",IFERROR(INDEX(Scherpenzeel!$F$107:$F$206,MATCH($A158,Scherpenzeel!$C$107:$C$206,0)),""),IF(IFERROR(INDEX('4'!$F$107:$F$206,MATCH($A158,'4'!$C$107:$C$206,0)),"")&lt;&gt;"",IFERROR(INDEX('4'!$F$107:$F$206,MATCH($A158,'4'!$C$107:$C$206,0)),""),IFERROR(INDEX('5'!$F$107:$F$206,MATCH($A158,'5'!$C$107:$C$206,0)),"")))))</f>
        <v/>
      </c>
      <c r="C158" s="24" t="str">
        <f>IF($A158="","",IFERROR(INDEX(Barneveld!$A$40:$A$139,MATCH($A158,Barneveld!$C$40:$C$139,0)),""))</f>
        <v/>
      </c>
      <c r="D158" s="15">
        <f>IF($A158="",0,IFERROR(INDEX(Barneveld!$H$40:$H$139,MATCH($A158,Barneveld!$C$40:$C$139,0)),0))</f>
        <v>0</v>
      </c>
      <c r="E158" s="24" t="str">
        <f>""</f>
        <v/>
      </c>
      <c r="F158" s="15">
        <f>0</f>
        <v>0</v>
      </c>
      <c r="G158" s="24" t="str">
        <f>IF($A158="","",IFERROR(INDEX(Scherpenzeel!$A$107:$A$206,MATCH($A158,Scherpenzeel!$C$107:$C$206,0)),""))</f>
        <v/>
      </c>
      <c r="H158" s="15">
        <f>IF($A158="",0,IFERROR(INDEX(Scherpenzeel!$I$107:$I$206,MATCH($A158,Scherpenzeel!$C$107:$C$206,0)),0))</f>
        <v>0</v>
      </c>
      <c r="I158" s="24" t="str">
        <f>IF($A158="","",IFERROR(INDEX('4'!$A$107:$A$206,MATCH($A158,'4'!$C$107:$C$206,0)),""))</f>
        <v/>
      </c>
      <c r="J158" s="15">
        <f>IF($A158="",0,IFERROR(INDEX('4'!$I$107:$I$206,MATCH($A158,'4'!$C$107:$C$206,0)),0))</f>
        <v>0</v>
      </c>
      <c r="K158" s="24" t="str">
        <f>IF($A158="","",IFERROR(INDEX('5'!$A$107:$A$206,MATCH($A158,'5'!$C$107:$C$206,0)),""))</f>
        <v/>
      </c>
      <c r="L158" s="15">
        <f>IF($A158="",0,IFERROR(INDEX('5'!$I$107:$I$206,MATCH($A158,'5'!$C$107:$C$206,0)),0))</f>
        <v>0</v>
      </c>
      <c r="M158" s="25" t="str">
        <f>IF($A158="","",D158+F158+H158+J158+L158)</f>
        <v/>
      </c>
      <c r="N158" s="26" t="str">
        <f>IF(OR($A158="",M158="",M158=0),"",RANK(M158,$M$4:$M$203,0))</f>
        <v/>
      </c>
      <c r="AA158">
        <f>Scherpenzeel!C164</f>
        <v>0</v>
      </c>
      <c r="AB158">
        <f>IF(AA158="",0,IF(COUNTIF($AA$1:AA158,AA158)=1,1,0))</f>
        <v>0</v>
      </c>
      <c r="AC158" t="str">
        <f>IF(AB158=1,COUNTIF($AB$1:AB158,1),"")</f>
        <v/>
      </c>
    </row>
    <row r="159" spans="1:29" x14ac:dyDescent="0.25">
      <c r="A159" s="13" t="str">
        <f>IFERROR(INDEX($AA$1:$AA$400,MATCH(156,$AC$1:$AC$400,0)),"")</f>
        <v/>
      </c>
      <c r="B159" s="13" t="str">
        <f>IF($A159="","",IF(IFERROR(INDEX(Barneveld!$E$40:$E$139,MATCH($A159,Barneveld!$C$40:$C$139,0)),"")&lt;&gt;"",IFERROR(INDEX(Barneveld!$E$40:$E$139,MATCH($A159,Barneveld!$C$40:$C$139,0)),""),IF(IFERROR(INDEX(Scherpenzeel!$F$107:$F$206,MATCH($A159,Scherpenzeel!$C$107:$C$206,0)),"")&lt;&gt;"",IFERROR(INDEX(Scherpenzeel!$F$107:$F$206,MATCH($A159,Scherpenzeel!$C$107:$C$206,0)),""),IF(IFERROR(INDEX('4'!$F$107:$F$206,MATCH($A159,'4'!$C$107:$C$206,0)),"")&lt;&gt;"",IFERROR(INDEX('4'!$F$107:$F$206,MATCH($A159,'4'!$C$107:$C$206,0)),""),IFERROR(INDEX('5'!$F$107:$F$206,MATCH($A159,'5'!$C$107:$C$206,0)),"")))))</f>
        <v/>
      </c>
      <c r="C159" s="24" t="str">
        <f>IF($A159="","",IFERROR(INDEX(Barneveld!$A$40:$A$139,MATCH($A159,Barneveld!$C$40:$C$139,0)),""))</f>
        <v/>
      </c>
      <c r="D159" s="15">
        <f>IF($A159="",0,IFERROR(INDEX(Barneveld!$H$40:$H$139,MATCH($A159,Barneveld!$C$40:$C$139,0)),0))</f>
        <v>0</v>
      </c>
      <c r="E159" s="24" t="str">
        <f>""</f>
        <v/>
      </c>
      <c r="F159" s="15">
        <f>0</f>
        <v>0</v>
      </c>
      <c r="G159" s="24" t="str">
        <f>IF($A159="","",IFERROR(INDEX(Scherpenzeel!$A$107:$A$206,MATCH($A159,Scherpenzeel!$C$107:$C$206,0)),""))</f>
        <v/>
      </c>
      <c r="H159" s="15">
        <f>IF($A159="",0,IFERROR(INDEX(Scherpenzeel!$I$107:$I$206,MATCH($A159,Scherpenzeel!$C$107:$C$206,0)),0))</f>
        <v>0</v>
      </c>
      <c r="I159" s="24" t="str">
        <f>IF($A159="","",IFERROR(INDEX('4'!$A$107:$A$206,MATCH($A159,'4'!$C$107:$C$206,0)),""))</f>
        <v/>
      </c>
      <c r="J159" s="15">
        <f>IF($A159="",0,IFERROR(INDEX('4'!$I$107:$I$206,MATCH($A159,'4'!$C$107:$C$206,0)),0))</f>
        <v>0</v>
      </c>
      <c r="K159" s="24" t="str">
        <f>IF($A159="","",IFERROR(INDEX('5'!$A$107:$A$206,MATCH($A159,'5'!$C$107:$C$206,0)),""))</f>
        <v/>
      </c>
      <c r="L159" s="15">
        <f>IF($A159="",0,IFERROR(INDEX('5'!$I$107:$I$206,MATCH($A159,'5'!$C$107:$C$206,0)),0))</f>
        <v>0</v>
      </c>
      <c r="M159" s="25" t="str">
        <f>IF($A159="","",D159+F159+H159+J159+L159)</f>
        <v/>
      </c>
      <c r="N159" s="26" t="str">
        <f>IF(OR($A159="",M159="",M159=0),"",RANK(M159,$M$4:$M$203,0))</f>
        <v/>
      </c>
      <c r="AA159">
        <f>Scherpenzeel!C165</f>
        <v>0</v>
      </c>
      <c r="AB159">
        <f>IF(AA159="",0,IF(COUNTIF($AA$1:AA159,AA159)=1,1,0))</f>
        <v>0</v>
      </c>
      <c r="AC159" t="str">
        <f>IF(AB159=1,COUNTIF($AB$1:AB159,1),"")</f>
        <v/>
      </c>
    </row>
    <row r="160" spans="1:29" x14ac:dyDescent="0.25">
      <c r="A160" s="13" t="str">
        <f>IFERROR(INDEX($AA$1:$AA$400,MATCH(157,$AC$1:$AC$400,0)),"")</f>
        <v/>
      </c>
      <c r="B160" s="13" t="str">
        <f>IF($A160="","",IF(IFERROR(INDEX(Barneveld!$E$40:$E$139,MATCH($A160,Barneveld!$C$40:$C$139,0)),"")&lt;&gt;"",IFERROR(INDEX(Barneveld!$E$40:$E$139,MATCH($A160,Barneveld!$C$40:$C$139,0)),""),IF(IFERROR(INDEX(Scherpenzeel!$F$107:$F$206,MATCH($A160,Scherpenzeel!$C$107:$C$206,0)),"")&lt;&gt;"",IFERROR(INDEX(Scherpenzeel!$F$107:$F$206,MATCH($A160,Scherpenzeel!$C$107:$C$206,0)),""),IF(IFERROR(INDEX('4'!$F$107:$F$206,MATCH($A160,'4'!$C$107:$C$206,0)),"")&lt;&gt;"",IFERROR(INDEX('4'!$F$107:$F$206,MATCH($A160,'4'!$C$107:$C$206,0)),""),IFERROR(INDEX('5'!$F$107:$F$206,MATCH($A160,'5'!$C$107:$C$206,0)),"")))))</f>
        <v/>
      </c>
      <c r="C160" s="24" t="str">
        <f>IF($A160="","",IFERROR(INDEX(Barneveld!$A$40:$A$139,MATCH($A160,Barneveld!$C$40:$C$139,0)),""))</f>
        <v/>
      </c>
      <c r="D160" s="15">
        <f>IF($A160="",0,IFERROR(INDEX(Barneveld!$H$40:$H$139,MATCH($A160,Barneveld!$C$40:$C$139,0)),0))</f>
        <v>0</v>
      </c>
      <c r="E160" s="24" t="str">
        <f>""</f>
        <v/>
      </c>
      <c r="F160" s="15">
        <f>0</f>
        <v>0</v>
      </c>
      <c r="G160" s="24" t="str">
        <f>IF($A160="","",IFERROR(INDEX(Scherpenzeel!$A$107:$A$206,MATCH($A160,Scherpenzeel!$C$107:$C$206,0)),""))</f>
        <v/>
      </c>
      <c r="H160" s="15">
        <f>IF($A160="",0,IFERROR(INDEX(Scherpenzeel!$I$107:$I$206,MATCH($A160,Scherpenzeel!$C$107:$C$206,0)),0))</f>
        <v>0</v>
      </c>
      <c r="I160" s="24" t="str">
        <f>IF($A160="","",IFERROR(INDEX('4'!$A$107:$A$206,MATCH($A160,'4'!$C$107:$C$206,0)),""))</f>
        <v/>
      </c>
      <c r="J160" s="15">
        <f>IF($A160="",0,IFERROR(INDEX('4'!$I$107:$I$206,MATCH($A160,'4'!$C$107:$C$206,0)),0))</f>
        <v>0</v>
      </c>
      <c r="K160" s="24" t="str">
        <f>IF($A160="","",IFERROR(INDEX('5'!$A$107:$A$206,MATCH($A160,'5'!$C$107:$C$206,0)),""))</f>
        <v/>
      </c>
      <c r="L160" s="15">
        <f>IF($A160="",0,IFERROR(INDEX('5'!$I$107:$I$206,MATCH($A160,'5'!$C$107:$C$206,0)),0))</f>
        <v>0</v>
      </c>
      <c r="M160" s="25" t="str">
        <f>IF($A160="","",D160+F160+H160+J160+L160)</f>
        <v/>
      </c>
      <c r="N160" s="26" t="str">
        <f>IF(OR($A160="",M160="",M160=0),"",RANK(M160,$M$4:$M$203,0))</f>
        <v/>
      </c>
      <c r="AA160">
        <f>Scherpenzeel!C166</f>
        <v>0</v>
      </c>
      <c r="AB160">
        <f>IF(AA160="",0,IF(COUNTIF($AA$1:AA160,AA160)=1,1,0))</f>
        <v>0</v>
      </c>
      <c r="AC160" t="str">
        <f>IF(AB160=1,COUNTIF($AB$1:AB160,1),"")</f>
        <v/>
      </c>
    </row>
    <row r="161" spans="1:29" x14ac:dyDescent="0.25">
      <c r="A161" s="13" t="str">
        <f>IFERROR(INDEX($AA$1:$AA$400,MATCH(158,$AC$1:$AC$400,0)),"")</f>
        <v/>
      </c>
      <c r="B161" s="13" t="str">
        <f>IF($A161="","",IF(IFERROR(INDEX(Barneveld!$E$40:$E$139,MATCH($A161,Barneveld!$C$40:$C$139,0)),"")&lt;&gt;"",IFERROR(INDEX(Barneveld!$E$40:$E$139,MATCH($A161,Barneveld!$C$40:$C$139,0)),""),IF(IFERROR(INDEX(Scherpenzeel!$F$107:$F$206,MATCH($A161,Scherpenzeel!$C$107:$C$206,0)),"")&lt;&gt;"",IFERROR(INDEX(Scherpenzeel!$F$107:$F$206,MATCH($A161,Scherpenzeel!$C$107:$C$206,0)),""),IF(IFERROR(INDEX('4'!$F$107:$F$206,MATCH($A161,'4'!$C$107:$C$206,0)),"")&lt;&gt;"",IFERROR(INDEX('4'!$F$107:$F$206,MATCH($A161,'4'!$C$107:$C$206,0)),""),IFERROR(INDEX('5'!$F$107:$F$206,MATCH($A161,'5'!$C$107:$C$206,0)),"")))))</f>
        <v/>
      </c>
      <c r="C161" s="24" t="str">
        <f>IF($A161="","",IFERROR(INDEX(Barneveld!$A$40:$A$139,MATCH($A161,Barneveld!$C$40:$C$139,0)),""))</f>
        <v/>
      </c>
      <c r="D161" s="15">
        <f>IF($A161="",0,IFERROR(INDEX(Barneveld!$H$40:$H$139,MATCH($A161,Barneveld!$C$40:$C$139,0)),0))</f>
        <v>0</v>
      </c>
      <c r="E161" s="24" t="str">
        <f>""</f>
        <v/>
      </c>
      <c r="F161" s="15">
        <f>0</f>
        <v>0</v>
      </c>
      <c r="G161" s="24" t="str">
        <f>IF($A161="","",IFERROR(INDEX(Scherpenzeel!$A$107:$A$206,MATCH($A161,Scherpenzeel!$C$107:$C$206,0)),""))</f>
        <v/>
      </c>
      <c r="H161" s="15">
        <f>IF($A161="",0,IFERROR(INDEX(Scherpenzeel!$I$107:$I$206,MATCH($A161,Scherpenzeel!$C$107:$C$206,0)),0))</f>
        <v>0</v>
      </c>
      <c r="I161" s="24" t="str">
        <f>IF($A161="","",IFERROR(INDEX('4'!$A$107:$A$206,MATCH($A161,'4'!$C$107:$C$206,0)),""))</f>
        <v/>
      </c>
      <c r="J161" s="15">
        <f>IF($A161="",0,IFERROR(INDEX('4'!$I$107:$I$206,MATCH($A161,'4'!$C$107:$C$206,0)),0))</f>
        <v>0</v>
      </c>
      <c r="K161" s="24" t="str">
        <f>IF($A161="","",IFERROR(INDEX('5'!$A$107:$A$206,MATCH($A161,'5'!$C$107:$C$206,0)),""))</f>
        <v/>
      </c>
      <c r="L161" s="15">
        <f>IF($A161="",0,IFERROR(INDEX('5'!$I$107:$I$206,MATCH($A161,'5'!$C$107:$C$206,0)),0))</f>
        <v>0</v>
      </c>
      <c r="M161" s="25" t="str">
        <f>IF($A161="","",D161+F161+H161+J161+L161)</f>
        <v/>
      </c>
      <c r="N161" s="26" t="str">
        <f>IF(OR($A161="",M161="",M161=0),"",RANK(M161,$M$4:$M$203,0))</f>
        <v/>
      </c>
      <c r="AA161">
        <f>Scherpenzeel!C167</f>
        <v>0</v>
      </c>
      <c r="AB161">
        <f>IF(AA161="",0,IF(COUNTIF($AA$1:AA161,AA161)=1,1,0))</f>
        <v>0</v>
      </c>
      <c r="AC161" t="str">
        <f>IF(AB161=1,COUNTIF($AB$1:AB161,1),"")</f>
        <v/>
      </c>
    </row>
    <row r="162" spans="1:29" x14ac:dyDescent="0.25">
      <c r="A162" s="13" t="str">
        <f>IFERROR(INDEX($AA$1:$AA$400,MATCH(159,$AC$1:$AC$400,0)),"")</f>
        <v/>
      </c>
      <c r="B162" s="13" t="str">
        <f>IF($A162="","",IF(IFERROR(INDEX(Barneveld!$E$40:$E$139,MATCH($A162,Barneveld!$C$40:$C$139,0)),"")&lt;&gt;"",IFERROR(INDEX(Barneveld!$E$40:$E$139,MATCH($A162,Barneveld!$C$40:$C$139,0)),""),IF(IFERROR(INDEX(Scherpenzeel!$F$107:$F$206,MATCH($A162,Scherpenzeel!$C$107:$C$206,0)),"")&lt;&gt;"",IFERROR(INDEX(Scherpenzeel!$F$107:$F$206,MATCH($A162,Scherpenzeel!$C$107:$C$206,0)),""),IF(IFERROR(INDEX('4'!$F$107:$F$206,MATCH($A162,'4'!$C$107:$C$206,0)),"")&lt;&gt;"",IFERROR(INDEX('4'!$F$107:$F$206,MATCH($A162,'4'!$C$107:$C$206,0)),""),IFERROR(INDEX('5'!$F$107:$F$206,MATCH($A162,'5'!$C$107:$C$206,0)),"")))))</f>
        <v/>
      </c>
      <c r="C162" s="24" t="str">
        <f>IF($A162="","",IFERROR(INDEX(Barneveld!$A$40:$A$139,MATCH($A162,Barneveld!$C$40:$C$139,0)),""))</f>
        <v/>
      </c>
      <c r="D162" s="15">
        <f>IF($A162="",0,IFERROR(INDEX(Barneveld!$H$40:$H$139,MATCH($A162,Barneveld!$C$40:$C$139,0)),0))</f>
        <v>0</v>
      </c>
      <c r="E162" s="24" t="str">
        <f>""</f>
        <v/>
      </c>
      <c r="F162" s="15">
        <f>0</f>
        <v>0</v>
      </c>
      <c r="G162" s="24" t="str">
        <f>IF($A162="","",IFERROR(INDEX(Scherpenzeel!$A$107:$A$206,MATCH($A162,Scherpenzeel!$C$107:$C$206,0)),""))</f>
        <v/>
      </c>
      <c r="H162" s="15">
        <f>IF($A162="",0,IFERROR(INDEX(Scherpenzeel!$I$107:$I$206,MATCH($A162,Scherpenzeel!$C$107:$C$206,0)),0))</f>
        <v>0</v>
      </c>
      <c r="I162" s="24" t="str">
        <f>IF($A162="","",IFERROR(INDEX('4'!$A$107:$A$206,MATCH($A162,'4'!$C$107:$C$206,0)),""))</f>
        <v/>
      </c>
      <c r="J162" s="15">
        <f>IF($A162="",0,IFERROR(INDEX('4'!$I$107:$I$206,MATCH($A162,'4'!$C$107:$C$206,0)),0))</f>
        <v>0</v>
      </c>
      <c r="K162" s="24" t="str">
        <f>IF($A162="","",IFERROR(INDEX('5'!$A$107:$A$206,MATCH($A162,'5'!$C$107:$C$206,0)),""))</f>
        <v/>
      </c>
      <c r="L162" s="15">
        <f>IF($A162="",0,IFERROR(INDEX('5'!$I$107:$I$206,MATCH($A162,'5'!$C$107:$C$206,0)),0))</f>
        <v>0</v>
      </c>
      <c r="M162" s="25" t="str">
        <f>IF($A162="","",D162+F162+H162+J162+L162)</f>
        <v/>
      </c>
      <c r="N162" s="26" t="str">
        <f>IF(OR($A162="",M162="",M162=0),"",RANK(M162,$M$4:$M$203,0))</f>
        <v/>
      </c>
      <c r="AA162">
        <f>Scherpenzeel!C168</f>
        <v>0</v>
      </c>
      <c r="AB162">
        <f>IF(AA162="",0,IF(COUNTIF($AA$1:AA162,AA162)=1,1,0))</f>
        <v>0</v>
      </c>
      <c r="AC162" t="str">
        <f>IF(AB162=1,COUNTIF($AB$1:AB162,1),"")</f>
        <v/>
      </c>
    </row>
    <row r="163" spans="1:29" x14ac:dyDescent="0.25">
      <c r="A163" s="13" t="str">
        <f>IFERROR(INDEX($AA$1:$AA$400,MATCH(160,$AC$1:$AC$400,0)),"")</f>
        <v/>
      </c>
      <c r="B163" s="13" t="str">
        <f>IF($A163="","",IF(IFERROR(INDEX(Barneveld!$E$40:$E$139,MATCH($A163,Barneveld!$C$40:$C$139,0)),"")&lt;&gt;"",IFERROR(INDEX(Barneveld!$E$40:$E$139,MATCH($A163,Barneveld!$C$40:$C$139,0)),""),IF(IFERROR(INDEX(Scherpenzeel!$F$107:$F$206,MATCH($A163,Scherpenzeel!$C$107:$C$206,0)),"")&lt;&gt;"",IFERROR(INDEX(Scherpenzeel!$F$107:$F$206,MATCH($A163,Scherpenzeel!$C$107:$C$206,0)),""),IF(IFERROR(INDEX('4'!$F$107:$F$206,MATCH($A163,'4'!$C$107:$C$206,0)),"")&lt;&gt;"",IFERROR(INDEX('4'!$F$107:$F$206,MATCH($A163,'4'!$C$107:$C$206,0)),""),IFERROR(INDEX('5'!$F$107:$F$206,MATCH($A163,'5'!$C$107:$C$206,0)),"")))))</f>
        <v/>
      </c>
      <c r="C163" s="24" t="str">
        <f>IF($A163="","",IFERROR(INDEX(Barneveld!$A$40:$A$139,MATCH($A163,Barneveld!$C$40:$C$139,0)),""))</f>
        <v/>
      </c>
      <c r="D163" s="15">
        <f>IF($A163="",0,IFERROR(INDEX(Barneveld!$H$40:$H$139,MATCH($A163,Barneveld!$C$40:$C$139,0)),0))</f>
        <v>0</v>
      </c>
      <c r="E163" s="24" t="str">
        <f>""</f>
        <v/>
      </c>
      <c r="F163" s="15">
        <f>0</f>
        <v>0</v>
      </c>
      <c r="G163" s="24" t="str">
        <f>IF($A163="","",IFERROR(INDEX(Scherpenzeel!$A$107:$A$206,MATCH($A163,Scherpenzeel!$C$107:$C$206,0)),""))</f>
        <v/>
      </c>
      <c r="H163" s="15">
        <f>IF($A163="",0,IFERROR(INDEX(Scherpenzeel!$I$107:$I$206,MATCH($A163,Scherpenzeel!$C$107:$C$206,0)),0))</f>
        <v>0</v>
      </c>
      <c r="I163" s="24" t="str">
        <f>IF($A163="","",IFERROR(INDEX('4'!$A$107:$A$206,MATCH($A163,'4'!$C$107:$C$206,0)),""))</f>
        <v/>
      </c>
      <c r="J163" s="15">
        <f>IF($A163="",0,IFERROR(INDEX('4'!$I$107:$I$206,MATCH($A163,'4'!$C$107:$C$206,0)),0))</f>
        <v>0</v>
      </c>
      <c r="K163" s="24" t="str">
        <f>IF($A163="","",IFERROR(INDEX('5'!$A$107:$A$206,MATCH($A163,'5'!$C$107:$C$206,0)),""))</f>
        <v/>
      </c>
      <c r="L163" s="15">
        <f>IF($A163="",0,IFERROR(INDEX('5'!$I$107:$I$206,MATCH($A163,'5'!$C$107:$C$206,0)),0))</f>
        <v>0</v>
      </c>
      <c r="M163" s="25" t="str">
        <f>IF($A163="","",D163+F163+H163+J163+L163)</f>
        <v/>
      </c>
      <c r="N163" s="26" t="str">
        <f>IF(OR($A163="",M163="",M163=0),"",RANK(M163,$M$4:$M$203,0))</f>
        <v/>
      </c>
      <c r="AA163">
        <f>Scherpenzeel!C169</f>
        <v>0</v>
      </c>
      <c r="AB163">
        <f>IF(AA163="",0,IF(COUNTIF($AA$1:AA163,AA163)=1,1,0))</f>
        <v>0</v>
      </c>
      <c r="AC163" t="str">
        <f>IF(AB163=1,COUNTIF($AB$1:AB163,1),"")</f>
        <v/>
      </c>
    </row>
    <row r="164" spans="1:29" x14ac:dyDescent="0.25">
      <c r="A164" s="13" t="str">
        <f>IFERROR(INDEX($AA$1:$AA$400,MATCH(161,$AC$1:$AC$400,0)),"")</f>
        <v/>
      </c>
      <c r="B164" s="13" t="str">
        <f>IF($A164="","",IF(IFERROR(INDEX(Barneveld!$E$40:$E$139,MATCH($A164,Barneveld!$C$40:$C$139,0)),"")&lt;&gt;"",IFERROR(INDEX(Barneveld!$E$40:$E$139,MATCH($A164,Barneveld!$C$40:$C$139,0)),""),IF(IFERROR(INDEX(Scherpenzeel!$F$107:$F$206,MATCH($A164,Scherpenzeel!$C$107:$C$206,0)),"")&lt;&gt;"",IFERROR(INDEX(Scherpenzeel!$F$107:$F$206,MATCH($A164,Scherpenzeel!$C$107:$C$206,0)),""),IF(IFERROR(INDEX('4'!$F$107:$F$206,MATCH($A164,'4'!$C$107:$C$206,0)),"")&lt;&gt;"",IFERROR(INDEX('4'!$F$107:$F$206,MATCH($A164,'4'!$C$107:$C$206,0)),""),IFERROR(INDEX('5'!$F$107:$F$206,MATCH($A164,'5'!$C$107:$C$206,0)),"")))))</f>
        <v/>
      </c>
      <c r="C164" s="24" t="str">
        <f>IF($A164="","",IFERROR(INDEX(Barneveld!$A$40:$A$139,MATCH($A164,Barneveld!$C$40:$C$139,0)),""))</f>
        <v/>
      </c>
      <c r="D164" s="15">
        <f>IF($A164="",0,IFERROR(INDEX(Barneveld!$H$40:$H$139,MATCH($A164,Barneveld!$C$40:$C$139,0)),0))</f>
        <v>0</v>
      </c>
      <c r="E164" s="24" t="str">
        <f>""</f>
        <v/>
      </c>
      <c r="F164" s="15">
        <f>0</f>
        <v>0</v>
      </c>
      <c r="G164" s="24" t="str">
        <f>IF($A164="","",IFERROR(INDEX(Scherpenzeel!$A$107:$A$206,MATCH($A164,Scherpenzeel!$C$107:$C$206,0)),""))</f>
        <v/>
      </c>
      <c r="H164" s="15">
        <f>IF($A164="",0,IFERROR(INDEX(Scherpenzeel!$I$107:$I$206,MATCH($A164,Scherpenzeel!$C$107:$C$206,0)),0))</f>
        <v>0</v>
      </c>
      <c r="I164" s="24" t="str">
        <f>IF($A164="","",IFERROR(INDEX('4'!$A$107:$A$206,MATCH($A164,'4'!$C$107:$C$206,0)),""))</f>
        <v/>
      </c>
      <c r="J164" s="15">
        <f>IF($A164="",0,IFERROR(INDEX('4'!$I$107:$I$206,MATCH($A164,'4'!$C$107:$C$206,0)),0))</f>
        <v>0</v>
      </c>
      <c r="K164" s="24" t="str">
        <f>IF($A164="","",IFERROR(INDEX('5'!$A$107:$A$206,MATCH($A164,'5'!$C$107:$C$206,0)),""))</f>
        <v/>
      </c>
      <c r="L164" s="15">
        <f>IF($A164="",0,IFERROR(INDEX('5'!$I$107:$I$206,MATCH($A164,'5'!$C$107:$C$206,0)),0))</f>
        <v>0</v>
      </c>
      <c r="M164" s="25" t="str">
        <f>IF($A164="","",D164+F164+H164+J164+L164)</f>
        <v/>
      </c>
      <c r="N164" s="26" t="str">
        <f>IF(OR($A164="",M164="",M164=0),"",RANK(M164,$M$4:$M$203,0))</f>
        <v/>
      </c>
      <c r="AA164">
        <f>Scherpenzeel!C170</f>
        <v>0</v>
      </c>
      <c r="AB164">
        <f>IF(AA164="",0,IF(COUNTIF($AA$1:AA164,AA164)=1,1,0))</f>
        <v>0</v>
      </c>
      <c r="AC164" t="str">
        <f>IF(AB164=1,COUNTIF($AB$1:AB164,1),"")</f>
        <v/>
      </c>
    </row>
    <row r="165" spans="1:29" x14ac:dyDescent="0.25">
      <c r="A165" s="13" t="str">
        <f>IFERROR(INDEX($AA$1:$AA$400,MATCH(162,$AC$1:$AC$400,0)),"")</f>
        <v/>
      </c>
      <c r="B165" s="13" t="str">
        <f>IF($A165="","",IF(IFERROR(INDEX(Barneveld!$E$40:$E$139,MATCH($A165,Barneveld!$C$40:$C$139,0)),"")&lt;&gt;"",IFERROR(INDEX(Barneveld!$E$40:$E$139,MATCH($A165,Barneveld!$C$40:$C$139,0)),""),IF(IFERROR(INDEX(Scherpenzeel!$F$107:$F$206,MATCH($A165,Scherpenzeel!$C$107:$C$206,0)),"")&lt;&gt;"",IFERROR(INDEX(Scherpenzeel!$F$107:$F$206,MATCH($A165,Scherpenzeel!$C$107:$C$206,0)),""),IF(IFERROR(INDEX('4'!$F$107:$F$206,MATCH($A165,'4'!$C$107:$C$206,0)),"")&lt;&gt;"",IFERROR(INDEX('4'!$F$107:$F$206,MATCH($A165,'4'!$C$107:$C$206,0)),""),IFERROR(INDEX('5'!$F$107:$F$206,MATCH($A165,'5'!$C$107:$C$206,0)),"")))))</f>
        <v/>
      </c>
      <c r="C165" s="24" t="str">
        <f>IF($A165="","",IFERROR(INDEX(Barneveld!$A$40:$A$139,MATCH($A165,Barneveld!$C$40:$C$139,0)),""))</f>
        <v/>
      </c>
      <c r="D165" s="15">
        <f>IF($A165="",0,IFERROR(INDEX(Barneveld!$H$40:$H$139,MATCH($A165,Barneveld!$C$40:$C$139,0)),0))</f>
        <v>0</v>
      </c>
      <c r="E165" s="24" t="str">
        <f>""</f>
        <v/>
      </c>
      <c r="F165" s="15">
        <f>0</f>
        <v>0</v>
      </c>
      <c r="G165" s="24" t="str">
        <f>IF($A165="","",IFERROR(INDEX(Scherpenzeel!$A$107:$A$206,MATCH($A165,Scherpenzeel!$C$107:$C$206,0)),""))</f>
        <v/>
      </c>
      <c r="H165" s="15">
        <f>IF($A165="",0,IFERROR(INDEX(Scherpenzeel!$I$107:$I$206,MATCH($A165,Scherpenzeel!$C$107:$C$206,0)),0))</f>
        <v>0</v>
      </c>
      <c r="I165" s="24" t="str">
        <f>IF($A165="","",IFERROR(INDEX('4'!$A$107:$A$206,MATCH($A165,'4'!$C$107:$C$206,0)),""))</f>
        <v/>
      </c>
      <c r="J165" s="15">
        <f>IF($A165="",0,IFERROR(INDEX('4'!$I$107:$I$206,MATCH($A165,'4'!$C$107:$C$206,0)),0))</f>
        <v>0</v>
      </c>
      <c r="K165" s="24" t="str">
        <f>IF($A165="","",IFERROR(INDEX('5'!$A$107:$A$206,MATCH($A165,'5'!$C$107:$C$206,0)),""))</f>
        <v/>
      </c>
      <c r="L165" s="15">
        <f>IF($A165="",0,IFERROR(INDEX('5'!$I$107:$I$206,MATCH($A165,'5'!$C$107:$C$206,0)),0))</f>
        <v>0</v>
      </c>
      <c r="M165" s="25" t="str">
        <f>IF($A165="","",D165+F165+H165+J165+L165)</f>
        <v/>
      </c>
      <c r="N165" s="26" t="str">
        <f>IF(OR($A165="",M165="",M165=0),"",RANK(M165,$M$4:$M$203,0))</f>
        <v/>
      </c>
      <c r="AA165">
        <f>Scherpenzeel!C171</f>
        <v>0</v>
      </c>
      <c r="AB165">
        <f>IF(AA165="",0,IF(COUNTIF($AA$1:AA165,AA165)=1,1,0))</f>
        <v>0</v>
      </c>
      <c r="AC165" t="str">
        <f>IF(AB165=1,COUNTIF($AB$1:AB165,1),"")</f>
        <v/>
      </c>
    </row>
    <row r="166" spans="1:29" x14ac:dyDescent="0.25">
      <c r="A166" s="13" t="str">
        <f>IFERROR(INDEX($AA$1:$AA$400,MATCH(163,$AC$1:$AC$400,0)),"")</f>
        <v/>
      </c>
      <c r="B166" s="13" t="str">
        <f>IF($A166="","",IF(IFERROR(INDEX(Barneveld!$E$40:$E$139,MATCH($A166,Barneveld!$C$40:$C$139,0)),"")&lt;&gt;"",IFERROR(INDEX(Barneveld!$E$40:$E$139,MATCH($A166,Barneveld!$C$40:$C$139,0)),""),IF(IFERROR(INDEX(Scherpenzeel!$F$107:$F$206,MATCH($A166,Scherpenzeel!$C$107:$C$206,0)),"")&lt;&gt;"",IFERROR(INDEX(Scherpenzeel!$F$107:$F$206,MATCH($A166,Scherpenzeel!$C$107:$C$206,0)),""),IF(IFERROR(INDEX('4'!$F$107:$F$206,MATCH($A166,'4'!$C$107:$C$206,0)),"")&lt;&gt;"",IFERROR(INDEX('4'!$F$107:$F$206,MATCH($A166,'4'!$C$107:$C$206,0)),""),IFERROR(INDEX('5'!$F$107:$F$206,MATCH($A166,'5'!$C$107:$C$206,0)),"")))))</f>
        <v/>
      </c>
      <c r="C166" s="24" t="str">
        <f>IF($A166="","",IFERROR(INDEX(Barneveld!$A$40:$A$139,MATCH($A166,Barneveld!$C$40:$C$139,0)),""))</f>
        <v/>
      </c>
      <c r="D166" s="15">
        <f>IF($A166="",0,IFERROR(INDEX(Barneveld!$H$40:$H$139,MATCH($A166,Barneveld!$C$40:$C$139,0)),0))</f>
        <v>0</v>
      </c>
      <c r="E166" s="24" t="str">
        <f>""</f>
        <v/>
      </c>
      <c r="F166" s="15">
        <f>0</f>
        <v>0</v>
      </c>
      <c r="G166" s="24" t="str">
        <f>IF($A166="","",IFERROR(INDEX(Scherpenzeel!$A$107:$A$206,MATCH($A166,Scherpenzeel!$C$107:$C$206,0)),""))</f>
        <v/>
      </c>
      <c r="H166" s="15">
        <f>IF($A166="",0,IFERROR(INDEX(Scherpenzeel!$I$107:$I$206,MATCH($A166,Scherpenzeel!$C$107:$C$206,0)),0))</f>
        <v>0</v>
      </c>
      <c r="I166" s="24" t="str">
        <f>IF($A166="","",IFERROR(INDEX('4'!$A$107:$A$206,MATCH($A166,'4'!$C$107:$C$206,0)),""))</f>
        <v/>
      </c>
      <c r="J166" s="15">
        <f>IF($A166="",0,IFERROR(INDEX('4'!$I$107:$I$206,MATCH($A166,'4'!$C$107:$C$206,0)),0))</f>
        <v>0</v>
      </c>
      <c r="K166" s="24" t="str">
        <f>IF($A166="","",IFERROR(INDEX('5'!$A$107:$A$206,MATCH($A166,'5'!$C$107:$C$206,0)),""))</f>
        <v/>
      </c>
      <c r="L166" s="15">
        <f>IF($A166="",0,IFERROR(INDEX('5'!$I$107:$I$206,MATCH($A166,'5'!$C$107:$C$206,0)),0))</f>
        <v>0</v>
      </c>
      <c r="M166" s="25" t="str">
        <f>IF($A166="","",D166+F166+H166+J166+L166)</f>
        <v/>
      </c>
      <c r="N166" s="26" t="str">
        <f>IF(OR($A166="",M166="",M166=0),"",RANK(M166,$M$4:$M$203,0))</f>
        <v/>
      </c>
      <c r="AA166">
        <f>Scherpenzeel!C172</f>
        <v>0</v>
      </c>
      <c r="AB166">
        <f>IF(AA166="",0,IF(COUNTIF($AA$1:AA166,AA166)=1,1,0))</f>
        <v>0</v>
      </c>
      <c r="AC166" t="str">
        <f>IF(AB166=1,COUNTIF($AB$1:AB166,1),"")</f>
        <v/>
      </c>
    </row>
    <row r="167" spans="1:29" x14ac:dyDescent="0.25">
      <c r="A167" s="13" t="str">
        <f>IFERROR(INDEX($AA$1:$AA$400,MATCH(164,$AC$1:$AC$400,0)),"")</f>
        <v/>
      </c>
      <c r="B167" s="13" t="str">
        <f>IF($A167="","",IF(IFERROR(INDEX(Barneveld!$E$40:$E$139,MATCH($A167,Barneveld!$C$40:$C$139,0)),"")&lt;&gt;"",IFERROR(INDEX(Barneveld!$E$40:$E$139,MATCH($A167,Barneveld!$C$40:$C$139,0)),""),IF(IFERROR(INDEX(Scherpenzeel!$F$107:$F$206,MATCH($A167,Scherpenzeel!$C$107:$C$206,0)),"")&lt;&gt;"",IFERROR(INDEX(Scherpenzeel!$F$107:$F$206,MATCH($A167,Scherpenzeel!$C$107:$C$206,0)),""),IF(IFERROR(INDEX('4'!$F$107:$F$206,MATCH($A167,'4'!$C$107:$C$206,0)),"")&lt;&gt;"",IFERROR(INDEX('4'!$F$107:$F$206,MATCH($A167,'4'!$C$107:$C$206,0)),""),IFERROR(INDEX('5'!$F$107:$F$206,MATCH($A167,'5'!$C$107:$C$206,0)),"")))))</f>
        <v/>
      </c>
      <c r="C167" s="24" t="str">
        <f>IF($A167="","",IFERROR(INDEX(Barneveld!$A$40:$A$139,MATCH($A167,Barneveld!$C$40:$C$139,0)),""))</f>
        <v/>
      </c>
      <c r="D167" s="15">
        <f>IF($A167="",0,IFERROR(INDEX(Barneveld!$H$40:$H$139,MATCH($A167,Barneveld!$C$40:$C$139,0)),0))</f>
        <v>0</v>
      </c>
      <c r="E167" s="24" t="str">
        <f>""</f>
        <v/>
      </c>
      <c r="F167" s="15">
        <f>0</f>
        <v>0</v>
      </c>
      <c r="G167" s="24" t="str">
        <f>IF($A167="","",IFERROR(INDEX(Scherpenzeel!$A$107:$A$206,MATCH($A167,Scherpenzeel!$C$107:$C$206,0)),""))</f>
        <v/>
      </c>
      <c r="H167" s="15">
        <f>IF($A167="",0,IFERROR(INDEX(Scherpenzeel!$I$107:$I$206,MATCH($A167,Scherpenzeel!$C$107:$C$206,0)),0))</f>
        <v>0</v>
      </c>
      <c r="I167" s="24" t="str">
        <f>IF($A167="","",IFERROR(INDEX('4'!$A$107:$A$206,MATCH($A167,'4'!$C$107:$C$206,0)),""))</f>
        <v/>
      </c>
      <c r="J167" s="15">
        <f>IF($A167="",0,IFERROR(INDEX('4'!$I$107:$I$206,MATCH($A167,'4'!$C$107:$C$206,0)),0))</f>
        <v>0</v>
      </c>
      <c r="K167" s="24" t="str">
        <f>IF($A167="","",IFERROR(INDEX('5'!$A$107:$A$206,MATCH($A167,'5'!$C$107:$C$206,0)),""))</f>
        <v/>
      </c>
      <c r="L167" s="15">
        <f>IF($A167="",0,IFERROR(INDEX('5'!$I$107:$I$206,MATCH($A167,'5'!$C$107:$C$206,0)),0))</f>
        <v>0</v>
      </c>
      <c r="M167" s="25" t="str">
        <f>IF($A167="","",D167+F167+H167+J167+L167)</f>
        <v/>
      </c>
      <c r="N167" s="26" t="str">
        <f>IF(OR($A167="",M167="",M167=0),"",RANK(M167,$M$4:$M$203,0))</f>
        <v/>
      </c>
      <c r="AA167">
        <f>Scherpenzeel!C173</f>
        <v>0</v>
      </c>
      <c r="AB167">
        <f>IF(AA167="",0,IF(COUNTIF($AA$1:AA167,AA167)=1,1,0))</f>
        <v>0</v>
      </c>
      <c r="AC167" t="str">
        <f>IF(AB167=1,COUNTIF($AB$1:AB167,1),"")</f>
        <v/>
      </c>
    </row>
    <row r="168" spans="1:29" x14ac:dyDescent="0.25">
      <c r="A168" s="13" t="str">
        <f>IFERROR(INDEX($AA$1:$AA$400,MATCH(165,$AC$1:$AC$400,0)),"")</f>
        <v/>
      </c>
      <c r="B168" s="13" t="str">
        <f>IF($A168="","",IF(IFERROR(INDEX(Barneveld!$E$40:$E$139,MATCH($A168,Barneveld!$C$40:$C$139,0)),"")&lt;&gt;"",IFERROR(INDEX(Barneveld!$E$40:$E$139,MATCH($A168,Barneveld!$C$40:$C$139,0)),""),IF(IFERROR(INDEX(Scherpenzeel!$F$107:$F$206,MATCH($A168,Scherpenzeel!$C$107:$C$206,0)),"")&lt;&gt;"",IFERROR(INDEX(Scherpenzeel!$F$107:$F$206,MATCH($A168,Scherpenzeel!$C$107:$C$206,0)),""),IF(IFERROR(INDEX('4'!$F$107:$F$206,MATCH($A168,'4'!$C$107:$C$206,0)),"")&lt;&gt;"",IFERROR(INDEX('4'!$F$107:$F$206,MATCH($A168,'4'!$C$107:$C$206,0)),""),IFERROR(INDEX('5'!$F$107:$F$206,MATCH($A168,'5'!$C$107:$C$206,0)),"")))))</f>
        <v/>
      </c>
      <c r="C168" s="24" t="str">
        <f>IF($A168="","",IFERROR(INDEX(Barneveld!$A$40:$A$139,MATCH($A168,Barneveld!$C$40:$C$139,0)),""))</f>
        <v/>
      </c>
      <c r="D168" s="15">
        <f>IF($A168="",0,IFERROR(INDEX(Barneveld!$H$40:$H$139,MATCH($A168,Barneveld!$C$40:$C$139,0)),0))</f>
        <v>0</v>
      </c>
      <c r="E168" s="24" t="str">
        <f>""</f>
        <v/>
      </c>
      <c r="F168" s="15">
        <f>0</f>
        <v>0</v>
      </c>
      <c r="G168" s="24" t="str">
        <f>IF($A168="","",IFERROR(INDEX(Scherpenzeel!$A$107:$A$206,MATCH($A168,Scherpenzeel!$C$107:$C$206,0)),""))</f>
        <v/>
      </c>
      <c r="H168" s="15">
        <f>IF($A168="",0,IFERROR(INDEX(Scherpenzeel!$I$107:$I$206,MATCH($A168,Scherpenzeel!$C$107:$C$206,0)),0))</f>
        <v>0</v>
      </c>
      <c r="I168" s="24" t="str">
        <f>IF($A168="","",IFERROR(INDEX('4'!$A$107:$A$206,MATCH($A168,'4'!$C$107:$C$206,0)),""))</f>
        <v/>
      </c>
      <c r="J168" s="15">
        <f>IF($A168="",0,IFERROR(INDEX('4'!$I$107:$I$206,MATCH($A168,'4'!$C$107:$C$206,0)),0))</f>
        <v>0</v>
      </c>
      <c r="K168" s="24" t="str">
        <f>IF($A168="","",IFERROR(INDEX('5'!$A$107:$A$206,MATCH($A168,'5'!$C$107:$C$206,0)),""))</f>
        <v/>
      </c>
      <c r="L168" s="15">
        <f>IF($A168="",0,IFERROR(INDEX('5'!$I$107:$I$206,MATCH($A168,'5'!$C$107:$C$206,0)),0))</f>
        <v>0</v>
      </c>
      <c r="M168" s="25" t="str">
        <f>IF($A168="","",D168+F168+H168+J168+L168)</f>
        <v/>
      </c>
      <c r="N168" s="26" t="str">
        <f>IF(OR($A168="",M168="",M168=0),"",RANK(M168,$M$4:$M$203,0))</f>
        <v/>
      </c>
      <c r="AA168">
        <f>Scherpenzeel!C174</f>
        <v>0</v>
      </c>
      <c r="AB168">
        <f>IF(AA168="",0,IF(COUNTIF($AA$1:AA168,AA168)=1,1,0))</f>
        <v>0</v>
      </c>
      <c r="AC168" t="str">
        <f>IF(AB168=1,COUNTIF($AB$1:AB168,1),"")</f>
        <v/>
      </c>
    </row>
    <row r="169" spans="1:29" x14ac:dyDescent="0.25">
      <c r="A169" s="13" t="str">
        <f>IFERROR(INDEX($AA$1:$AA$400,MATCH(166,$AC$1:$AC$400,0)),"")</f>
        <v/>
      </c>
      <c r="B169" s="13" t="str">
        <f>IF($A169="","",IF(IFERROR(INDEX(Barneveld!$E$40:$E$139,MATCH($A169,Barneveld!$C$40:$C$139,0)),"")&lt;&gt;"",IFERROR(INDEX(Barneveld!$E$40:$E$139,MATCH($A169,Barneveld!$C$40:$C$139,0)),""),IF(IFERROR(INDEX(Scherpenzeel!$F$107:$F$206,MATCH($A169,Scherpenzeel!$C$107:$C$206,0)),"")&lt;&gt;"",IFERROR(INDEX(Scherpenzeel!$F$107:$F$206,MATCH($A169,Scherpenzeel!$C$107:$C$206,0)),""),IF(IFERROR(INDEX('4'!$F$107:$F$206,MATCH($A169,'4'!$C$107:$C$206,0)),"")&lt;&gt;"",IFERROR(INDEX('4'!$F$107:$F$206,MATCH($A169,'4'!$C$107:$C$206,0)),""),IFERROR(INDEX('5'!$F$107:$F$206,MATCH($A169,'5'!$C$107:$C$206,0)),"")))))</f>
        <v/>
      </c>
      <c r="C169" s="24" t="str">
        <f>IF($A169="","",IFERROR(INDEX(Barneveld!$A$40:$A$139,MATCH($A169,Barneveld!$C$40:$C$139,0)),""))</f>
        <v/>
      </c>
      <c r="D169" s="15">
        <f>IF($A169="",0,IFERROR(INDEX(Barneveld!$H$40:$H$139,MATCH($A169,Barneveld!$C$40:$C$139,0)),0))</f>
        <v>0</v>
      </c>
      <c r="E169" s="24" t="str">
        <f>""</f>
        <v/>
      </c>
      <c r="F169" s="15">
        <f>0</f>
        <v>0</v>
      </c>
      <c r="G169" s="24" t="str">
        <f>IF($A169="","",IFERROR(INDEX(Scherpenzeel!$A$107:$A$206,MATCH($A169,Scherpenzeel!$C$107:$C$206,0)),""))</f>
        <v/>
      </c>
      <c r="H169" s="15">
        <f>IF($A169="",0,IFERROR(INDEX(Scherpenzeel!$I$107:$I$206,MATCH($A169,Scherpenzeel!$C$107:$C$206,0)),0))</f>
        <v>0</v>
      </c>
      <c r="I169" s="24" t="str">
        <f>IF($A169="","",IFERROR(INDEX('4'!$A$107:$A$206,MATCH($A169,'4'!$C$107:$C$206,0)),""))</f>
        <v/>
      </c>
      <c r="J169" s="15">
        <f>IF($A169="",0,IFERROR(INDEX('4'!$I$107:$I$206,MATCH($A169,'4'!$C$107:$C$206,0)),0))</f>
        <v>0</v>
      </c>
      <c r="K169" s="24" t="str">
        <f>IF($A169="","",IFERROR(INDEX('5'!$A$107:$A$206,MATCH($A169,'5'!$C$107:$C$206,0)),""))</f>
        <v/>
      </c>
      <c r="L169" s="15">
        <f>IF($A169="",0,IFERROR(INDEX('5'!$I$107:$I$206,MATCH($A169,'5'!$C$107:$C$206,0)),0))</f>
        <v>0</v>
      </c>
      <c r="M169" s="25" t="str">
        <f>IF($A169="","",D169+F169+H169+J169+L169)</f>
        <v/>
      </c>
      <c r="N169" s="26" t="str">
        <f>IF(OR($A169="",M169="",M169=0),"",RANK(M169,$M$4:$M$203,0))</f>
        <v/>
      </c>
      <c r="AA169">
        <f>Scherpenzeel!C175</f>
        <v>0</v>
      </c>
      <c r="AB169">
        <f>IF(AA169="",0,IF(COUNTIF($AA$1:AA169,AA169)=1,1,0))</f>
        <v>0</v>
      </c>
      <c r="AC169" t="str">
        <f>IF(AB169=1,COUNTIF($AB$1:AB169,1),"")</f>
        <v/>
      </c>
    </row>
    <row r="170" spans="1:29" x14ac:dyDescent="0.25">
      <c r="A170" s="13" t="str">
        <f>IFERROR(INDEX($AA$1:$AA$400,MATCH(167,$AC$1:$AC$400,0)),"")</f>
        <v/>
      </c>
      <c r="B170" s="13" t="str">
        <f>IF($A170="","",IF(IFERROR(INDEX(Barneveld!$E$40:$E$139,MATCH($A170,Barneveld!$C$40:$C$139,0)),"")&lt;&gt;"",IFERROR(INDEX(Barneveld!$E$40:$E$139,MATCH($A170,Barneveld!$C$40:$C$139,0)),""),IF(IFERROR(INDEX(Scherpenzeel!$F$107:$F$206,MATCH($A170,Scherpenzeel!$C$107:$C$206,0)),"")&lt;&gt;"",IFERROR(INDEX(Scherpenzeel!$F$107:$F$206,MATCH($A170,Scherpenzeel!$C$107:$C$206,0)),""),IF(IFERROR(INDEX('4'!$F$107:$F$206,MATCH($A170,'4'!$C$107:$C$206,0)),"")&lt;&gt;"",IFERROR(INDEX('4'!$F$107:$F$206,MATCH($A170,'4'!$C$107:$C$206,0)),""),IFERROR(INDEX('5'!$F$107:$F$206,MATCH($A170,'5'!$C$107:$C$206,0)),"")))))</f>
        <v/>
      </c>
      <c r="C170" s="24" t="str">
        <f>IF($A170="","",IFERROR(INDEX(Barneveld!$A$40:$A$139,MATCH($A170,Barneveld!$C$40:$C$139,0)),""))</f>
        <v/>
      </c>
      <c r="D170" s="15">
        <f>IF($A170="",0,IFERROR(INDEX(Barneveld!$H$40:$H$139,MATCH($A170,Barneveld!$C$40:$C$139,0)),0))</f>
        <v>0</v>
      </c>
      <c r="E170" s="24" t="str">
        <f>""</f>
        <v/>
      </c>
      <c r="F170" s="15">
        <f>0</f>
        <v>0</v>
      </c>
      <c r="G170" s="24" t="str">
        <f>IF($A170="","",IFERROR(INDEX(Scherpenzeel!$A$107:$A$206,MATCH($A170,Scherpenzeel!$C$107:$C$206,0)),""))</f>
        <v/>
      </c>
      <c r="H170" s="15">
        <f>IF($A170="",0,IFERROR(INDEX(Scherpenzeel!$I$107:$I$206,MATCH($A170,Scherpenzeel!$C$107:$C$206,0)),0))</f>
        <v>0</v>
      </c>
      <c r="I170" s="24" t="str">
        <f>IF($A170="","",IFERROR(INDEX('4'!$A$107:$A$206,MATCH($A170,'4'!$C$107:$C$206,0)),""))</f>
        <v/>
      </c>
      <c r="J170" s="15">
        <f>IF($A170="",0,IFERROR(INDEX('4'!$I$107:$I$206,MATCH($A170,'4'!$C$107:$C$206,0)),0))</f>
        <v>0</v>
      </c>
      <c r="K170" s="24" t="str">
        <f>IF($A170="","",IFERROR(INDEX('5'!$A$107:$A$206,MATCH($A170,'5'!$C$107:$C$206,0)),""))</f>
        <v/>
      </c>
      <c r="L170" s="15">
        <f>IF($A170="",0,IFERROR(INDEX('5'!$I$107:$I$206,MATCH($A170,'5'!$C$107:$C$206,0)),0))</f>
        <v>0</v>
      </c>
      <c r="M170" s="25" t="str">
        <f>IF($A170="","",D170+F170+H170+J170+L170)</f>
        <v/>
      </c>
      <c r="N170" s="26" t="str">
        <f>IF(OR($A170="",M170="",M170=0),"",RANK(M170,$M$4:$M$203,0))</f>
        <v/>
      </c>
      <c r="AA170">
        <f>Scherpenzeel!C176</f>
        <v>0</v>
      </c>
      <c r="AB170">
        <f>IF(AA170="",0,IF(COUNTIF($AA$1:AA170,AA170)=1,1,0))</f>
        <v>0</v>
      </c>
      <c r="AC170" t="str">
        <f>IF(AB170=1,COUNTIF($AB$1:AB170,1),"")</f>
        <v/>
      </c>
    </row>
    <row r="171" spans="1:29" x14ac:dyDescent="0.25">
      <c r="A171" s="13" t="str">
        <f>IFERROR(INDEX($AA$1:$AA$400,MATCH(168,$AC$1:$AC$400,0)),"")</f>
        <v/>
      </c>
      <c r="B171" s="13" t="str">
        <f>IF($A171="","",IF(IFERROR(INDEX(Barneveld!$E$40:$E$139,MATCH($A171,Barneveld!$C$40:$C$139,0)),"")&lt;&gt;"",IFERROR(INDEX(Barneveld!$E$40:$E$139,MATCH($A171,Barneveld!$C$40:$C$139,0)),""),IF(IFERROR(INDEX(Scherpenzeel!$F$107:$F$206,MATCH($A171,Scherpenzeel!$C$107:$C$206,0)),"")&lt;&gt;"",IFERROR(INDEX(Scherpenzeel!$F$107:$F$206,MATCH($A171,Scherpenzeel!$C$107:$C$206,0)),""),IF(IFERROR(INDEX('4'!$F$107:$F$206,MATCH($A171,'4'!$C$107:$C$206,0)),"")&lt;&gt;"",IFERROR(INDEX('4'!$F$107:$F$206,MATCH($A171,'4'!$C$107:$C$206,0)),""),IFERROR(INDEX('5'!$F$107:$F$206,MATCH($A171,'5'!$C$107:$C$206,0)),"")))))</f>
        <v/>
      </c>
      <c r="C171" s="24" t="str">
        <f>IF($A171="","",IFERROR(INDEX(Barneveld!$A$40:$A$139,MATCH($A171,Barneveld!$C$40:$C$139,0)),""))</f>
        <v/>
      </c>
      <c r="D171" s="15">
        <f>IF($A171="",0,IFERROR(INDEX(Barneveld!$H$40:$H$139,MATCH($A171,Barneveld!$C$40:$C$139,0)),0))</f>
        <v>0</v>
      </c>
      <c r="E171" s="24" t="str">
        <f>""</f>
        <v/>
      </c>
      <c r="F171" s="15">
        <f>0</f>
        <v>0</v>
      </c>
      <c r="G171" s="24" t="str">
        <f>IF($A171="","",IFERROR(INDEX(Scherpenzeel!$A$107:$A$206,MATCH($A171,Scherpenzeel!$C$107:$C$206,0)),""))</f>
        <v/>
      </c>
      <c r="H171" s="15">
        <f>IF($A171="",0,IFERROR(INDEX(Scherpenzeel!$I$107:$I$206,MATCH($A171,Scherpenzeel!$C$107:$C$206,0)),0))</f>
        <v>0</v>
      </c>
      <c r="I171" s="24" t="str">
        <f>IF($A171="","",IFERROR(INDEX('4'!$A$107:$A$206,MATCH($A171,'4'!$C$107:$C$206,0)),""))</f>
        <v/>
      </c>
      <c r="J171" s="15">
        <f>IF($A171="",0,IFERROR(INDEX('4'!$I$107:$I$206,MATCH($A171,'4'!$C$107:$C$206,0)),0))</f>
        <v>0</v>
      </c>
      <c r="K171" s="24" t="str">
        <f>IF($A171="","",IFERROR(INDEX('5'!$A$107:$A$206,MATCH($A171,'5'!$C$107:$C$206,0)),""))</f>
        <v/>
      </c>
      <c r="L171" s="15">
        <f>IF($A171="",0,IFERROR(INDEX('5'!$I$107:$I$206,MATCH($A171,'5'!$C$107:$C$206,0)),0))</f>
        <v>0</v>
      </c>
      <c r="M171" s="25" t="str">
        <f>IF($A171="","",D171+F171+H171+J171+L171)</f>
        <v/>
      </c>
      <c r="N171" s="26" t="str">
        <f>IF(OR($A171="",M171="",M171=0),"",RANK(M171,$M$4:$M$203,0))</f>
        <v/>
      </c>
      <c r="AA171">
        <f>Scherpenzeel!C177</f>
        <v>0</v>
      </c>
      <c r="AB171">
        <f>IF(AA171="",0,IF(COUNTIF($AA$1:AA171,AA171)=1,1,0))</f>
        <v>0</v>
      </c>
      <c r="AC171" t="str">
        <f>IF(AB171=1,COUNTIF($AB$1:AB171,1),"")</f>
        <v/>
      </c>
    </row>
    <row r="172" spans="1:29" x14ac:dyDescent="0.25">
      <c r="A172" s="13" t="str">
        <f>IFERROR(INDEX($AA$1:$AA$400,MATCH(169,$AC$1:$AC$400,0)),"")</f>
        <v/>
      </c>
      <c r="B172" s="13" t="str">
        <f>IF($A172="","",IF(IFERROR(INDEX(Barneveld!$E$40:$E$139,MATCH($A172,Barneveld!$C$40:$C$139,0)),"")&lt;&gt;"",IFERROR(INDEX(Barneveld!$E$40:$E$139,MATCH($A172,Barneveld!$C$40:$C$139,0)),""),IF(IFERROR(INDEX(Scherpenzeel!$F$107:$F$206,MATCH($A172,Scherpenzeel!$C$107:$C$206,0)),"")&lt;&gt;"",IFERROR(INDEX(Scherpenzeel!$F$107:$F$206,MATCH($A172,Scherpenzeel!$C$107:$C$206,0)),""),IF(IFERROR(INDEX('4'!$F$107:$F$206,MATCH($A172,'4'!$C$107:$C$206,0)),"")&lt;&gt;"",IFERROR(INDEX('4'!$F$107:$F$206,MATCH($A172,'4'!$C$107:$C$206,0)),""),IFERROR(INDEX('5'!$F$107:$F$206,MATCH($A172,'5'!$C$107:$C$206,0)),"")))))</f>
        <v/>
      </c>
      <c r="C172" s="24" t="str">
        <f>IF($A172="","",IFERROR(INDEX(Barneveld!$A$40:$A$139,MATCH($A172,Barneveld!$C$40:$C$139,0)),""))</f>
        <v/>
      </c>
      <c r="D172" s="15">
        <f>IF($A172="",0,IFERROR(INDEX(Barneveld!$H$40:$H$139,MATCH($A172,Barneveld!$C$40:$C$139,0)),0))</f>
        <v>0</v>
      </c>
      <c r="E172" s="24" t="str">
        <f>""</f>
        <v/>
      </c>
      <c r="F172" s="15">
        <f>0</f>
        <v>0</v>
      </c>
      <c r="G172" s="24" t="str">
        <f>IF($A172="","",IFERROR(INDEX(Scherpenzeel!$A$107:$A$206,MATCH($A172,Scherpenzeel!$C$107:$C$206,0)),""))</f>
        <v/>
      </c>
      <c r="H172" s="15">
        <f>IF($A172="",0,IFERROR(INDEX(Scherpenzeel!$I$107:$I$206,MATCH($A172,Scherpenzeel!$C$107:$C$206,0)),0))</f>
        <v>0</v>
      </c>
      <c r="I172" s="24" t="str">
        <f>IF($A172="","",IFERROR(INDEX('4'!$A$107:$A$206,MATCH($A172,'4'!$C$107:$C$206,0)),""))</f>
        <v/>
      </c>
      <c r="J172" s="15">
        <f>IF($A172="",0,IFERROR(INDEX('4'!$I$107:$I$206,MATCH($A172,'4'!$C$107:$C$206,0)),0))</f>
        <v>0</v>
      </c>
      <c r="K172" s="24" t="str">
        <f>IF($A172="","",IFERROR(INDEX('5'!$A$107:$A$206,MATCH($A172,'5'!$C$107:$C$206,0)),""))</f>
        <v/>
      </c>
      <c r="L172" s="15">
        <f>IF($A172="",0,IFERROR(INDEX('5'!$I$107:$I$206,MATCH($A172,'5'!$C$107:$C$206,0)),0))</f>
        <v>0</v>
      </c>
      <c r="M172" s="25" t="str">
        <f>IF($A172="","",D172+F172+H172+J172+L172)</f>
        <v/>
      </c>
      <c r="N172" s="26" t="str">
        <f>IF(OR($A172="",M172="",M172=0),"",RANK(M172,$M$4:$M$203,0))</f>
        <v/>
      </c>
      <c r="AA172">
        <f>Scherpenzeel!C178</f>
        <v>0</v>
      </c>
      <c r="AB172">
        <f>IF(AA172="",0,IF(COUNTIF($AA$1:AA172,AA172)=1,1,0))</f>
        <v>0</v>
      </c>
      <c r="AC172" t="str">
        <f>IF(AB172=1,COUNTIF($AB$1:AB172,1),"")</f>
        <v/>
      </c>
    </row>
    <row r="173" spans="1:29" x14ac:dyDescent="0.25">
      <c r="A173" s="13" t="str">
        <f>IFERROR(INDEX($AA$1:$AA$400,MATCH(170,$AC$1:$AC$400,0)),"")</f>
        <v/>
      </c>
      <c r="B173" s="13" t="str">
        <f>IF($A173="","",IF(IFERROR(INDEX(Barneveld!$E$40:$E$139,MATCH($A173,Barneveld!$C$40:$C$139,0)),"")&lt;&gt;"",IFERROR(INDEX(Barneveld!$E$40:$E$139,MATCH($A173,Barneveld!$C$40:$C$139,0)),""),IF(IFERROR(INDEX(Scherpenzeel!$F$107:$F$206,MATCH($A173,Scherpenzeel!$C$107:$C$206,0)),"")&lt;&gt;"",IFERROR(INDEX(Scherpenzeel!$F$107:$F$206,MATCH($A173,Scherpenzeel!$C$107:$C$206,0)),""),IF(IFERROR(INDEX('4'!$F$107:$F$206,MATCH($A173,'4'!$C$107:$C$206,0)),"")&lt;&gt;"",IFERROR(INDEX('4'!$F$107:$F$206,MATCH($A173,'4'!$C$107:$C$206,0)),""),IFERROR(INDEX('5'!$F$107:$F$206,MATCH($A173,'5'!$C$107:$C$206,0)),"")))))</f>
        <v/>
      </c>
      <c r="C173" s="24" t="str">
        <f>IF($A173="","",IFERROR(INDEX(Barneveld!$A$40:$A$139,MATCH($A173,Barneveld!$C$40:$C$139,0)),""))</f>
        <v/>
      </c>
      <c r="D173" s="15">
        <f>IF($A173="",0,IFERROR(INDEX(Barneveld!$H$40:$H$139,MATCH($A173,Barneveld!$C$40:$C$139,0)),0))</f>
        <v>0</v>
      </c>
      <c r="E173" s="24" t="str">
        <f>""</f>
        <v/>
      </c>
      <c r="F173" s="15">
        <f>0</f>
        <v>0</v>
      </c>
      <c r="G173" s="24" t="str">
        <f>IF($A173="","",IFERROR(INDEX(Scherpenzeel!$A$107:$A$206,MATCH($A173,Scherpenzeel!$C$107:$C$206,0)),""))</f>
        <v/>
      </c>
      <c r="H173" s="15">
        <f>IF($A173="",0,IFERROR(INDEX(Scherpenzeel!$I$107:$I$206,MATCH($A173,Scherpenzeel!$C$107:$C$206,0)),0))</f>
        <v>0</v>
      </c>
      <c r="I173" s="24" t="str">
        <f>IF($A173="","",IFERROR(INDEX('4'!$A$107:$A$206,MATCH($A173,'4'!$C$107:$C$206,0)),""))</f>
        <v/>
      </c>
      <c r="J173" s="15">
        <f>IF($A173="",0,IFERROR(INDEX('4'!$I$107:$I$206,MATCH($A173,'4'!$C$107:$C$206,0)),0))</f>
        <v>0</v>
      </c>
      <c r="K173" s="24" t="str">
        <f>IF($A173="","",IFERROR(INDEX('5'!$A$107:$A$206,MATCH($A173,'5'!$C$107:$C$206,0)),""))</f>
        <v/>
      </c>
      <c r="L173" s="15">
        <f>IF($A173="",0,IFERROR(INDEX('5'!$I$107:$I$206,MATCH($A173,'5'!$C$107:$C$206,0)),0))</f>
        <v>0</v>
      </c>
      <c r="M173" s="25" t="str">
        <f>IF($A173="","",D173+F173+H173+J173+L173)</f>
        <v/>
      </c>
      <c r="N173" s="26" t="str">
        <f>IF(OR($A173="",M173="",M173=0),"",RANK(M173,$M$4:$M$203,0))</f>
        <v/>
      </c>
      <c r="AA173">
        <f>Scherpenzeel!C179</f>
        <v>0</v>
      </c>
      <c r="AB173">
        <f>IF(AA173="",0,IF(COUNTIF($AA$1:AA173,AA173)=1,1,0))</f>
        <v>0</v>
      </c>
      <c r="AC173" t="str">
        <f>IF(AB173=1,COUNTIF($AB$1:AB173,1),"")</f>
        <v/>
      </c>
    </row>
    <row r="174" spans="1:29" x14ac:dyDescent="0.25">
      <c r="A174" s="13" t="str">
        <f>IFERROR(INDEX($AA$1:$AA$400,MATCH(171,$AC$1:$AC$400,0)),"")</f>
        <v/>
      </c>
      <c r="B174" s="13" t="str">
        <f>IF($A174="","",IF(IFERROR(INDEX(Barneveld!$E$40:$E$139,MATCH($A174,Barneveld!$C$40:$C$139,0)),"")&lt;&gt;"",IFERROR(INDEX(Barneveld!$E$40:$E$139,MATCH($A174,Barneveld!$C$40:$C$139,0)),""),IF(IFERROR(INDEX(Scherpenzeel!$F$107:$F$206,MATCH($A174,Scherpenzeel!$C$107:$C$206,0)),"")&lt;&gt;"",IFERROR(INDEX(Scherpenzeel!$F$107:$F$206,MATCH($A174,Scherpenzeel!$C$107:$C$206,0)),""),IF(IFERROR(INDEX('4'!$F$107:$F$206,MATCH($A174,'4'!$C$107:$C$206,0)),"")&lt;&gt;"",IFERROR(INDEX('4'!$F$107:$F$206,MATCH($A174,'4'!$C$107:$C$206,0)),""),IFERROR(INDEX('5'!$F$107:$F$206,MATCH($A174,'5'!$C$107:$C$206,0)),"")))))</f>
        <v/>
      </c>
      <c r="C174" s="24" t="str">
        <f>IF($A174="","",IFERROR(INDEX(Barneveld!$A$40:$A$139,MATCH($A174,Barneveld!$C$40:$C$139,0)),""))</f>
        <v/>
      </c>
      <c r="D174" s="15">
        <f>IF($A174="",0,IFERROR(INDEX(Barneveld!$H$40:$H$139,MATCH($A174,Barneveld!$C$40:$C$139,0)),0))</f>
        <v>0</v>
      </c>
      <c r="E174" s="24" t="str">
        <f>""</f>
        <v/>
      </c>
      <c r="F174" s="15">
        <f>0</f>
        <v>0</v>
      </c>
      <c r="G174" s="24" t="str">
        <f>IF($A174="","",IFERROR(INDEX(Scherpenzeel!$A$107:$A$206,MATCH($A174,Scherpenzeel!$C$107:$C$206,0)),""))</f>
        <v/>
      </c>
      <c r="H174" s="15">
        <f>IF($A174="",0,IFERROR(INDEX(Scherpenzeel!$I$107:$I$206,MATCH($A174,Scherpenzeel!$C$107:$C$206,0)),0))</f>
        <v>0</v>
      </c>
      <c r="I174" s="24" t="str">
        <f>IF($A174="","",IFERROR(INDEX('4'!$A$107:$A$206,MATCH($A174,'4'!$C$107:$C$206,0)),""))</f>
        <v/>
      </c>
      <c r="J174" s="15">
        <f>IF($A174="",0,IFERROR(INDEX('4'!$I$107:$I$206,MATCH($A174,'4'!$C$107:$C$206,0)),0))</f>
        <v>0</v>
      </c>
      <c r="K174" s="24" t="str">
        <f>IF($A174="","",IFERROR(INDEX('5'!$A$107:$A$206,MATCH($A174,'5'!$C$107:$C$206,0)),""))</f>
        <v/>
      </c>
      <c r="L174" s="15">
        <f>IF($A174="",0,IFERROR(INDEX('5'!$I$107:$I$206,MATCH($A174,'5'!$C$107:$C$206,0)),0))</f>
        <v>0</v>
      </c>
      <c r="M174" s="25" t="str">
        <f>IF($A174="","",D174+F174+H174+J174+L174)</f>
        <v/>
      </c>
      <c r="N174" s="26" t="str">
        <f>IF(OR($A174="",M174="",M174=0),"",RANK(M174,$M$4:$M$203,0))</f>
        <v/>
      </c>
      <c r="AA174">
        <f>Scherpenzeel!C180</f>
        <v>0</v>
      </c>
      <c r="AB174">
        <f>IF(AA174="",0,IF(COUNTIF($AA$1:AA174,AA174)=1,1,0))</f>
        <v>0</v>
      </c>
      <c r="AC174" t="str">
        <f>IF(AB174=1,COUNTIF($AB$1:AB174,1),"")</f>
        <v/>
      </c>
    </row>
    <row r="175" spans="1:29" x14ac:dyDescent="0.25">
      <c r="A175" s="13" t="str">
        <f>IFERROR(INDEX($AA$1:$AA$400,MATCH(172,$AC$1:$AC$400,0)),"")</f>
        <v/>
      </c>
      <c r="B175" s="13" t="str">
        <f>IF($A175="","",IF(IFERROR(INDEX(Barneveld!$E$40:$E$139,MATCH($A175,Barneveld!$C$40:$C$139,0)),"")&lt;&gt;"",IFERROR(INDEX(Barneveld!$E$40:$E$139,MATCH($A175,Barneveld!$C$40:$C$139,0)),""),IF(IFERROR(INDEX(Scherpenzeel!$F$107:$F$206,MATCH($A175,Scherpenzeel!$C$107:$C$206,0)),"")&lt;&gt;"",IFERROR(INDEX(Scherpenzeel!$F$107:$F$206,MATCH($A175,Scherpenzeel!$C$107:$C$206,0)),""),IF(IFERROR(INDEX('4'!$F$107:$F$206,MATCH($A175,'4'!$C$107:$C$206,0)),"")&lt;&gt;"",IFERROR(INDEX('4'!$F$107:$F$206,MATCH($A175,'4'!$C$107:$C$206,0)),""),IFERROR(INDEX('5'!$F$107:$F$206,MATCH($A175,'5'!$C$107:$C$206,0)),"")))))</f>
        <v/>
      </c>
      <c r="C175" s="24" t="str">
        <f>IF($A175="","",IFERROR(INDEX(Barneveld!$A$40:$A$139,MATCH($A175,Barneveld!$C$40:$C$139,0)),""))</f>
        <v/>
      </c>
      <c r="D175" s="15">
        <f>IF($A175="",0,IFERROR(INDEX(Barneveld!$H$40:$H$139,MATCH($A175,Barneveld!$C$40:$C$139,0)),0))</f>
        <v>0</v>
      </c>
      <c r="E175" s="24" t="str">
        <f>""</f>
        <v/>
      </c>
      <c r="F175" s="15">
        <f>0</f>
        <v>0</v>
      </c>
      <c r="G175" s="24" t="str">
        <f>IF($A175="","",IFERROR(INDEX(Scherpenzeel!$A$107:$A$206,MATCH($A175,Scherpenzeel!$C$107:$C$206,0)),""))</f>
        <v/>
      </c>
      <c r="H175" s="15">
        <f>IF($A175="",0,IFERROR(INDEX(Scherpenzeel!$I$107:$I$206,MATCH($A175,Scherpenzeel!$C$107:$C$206,0)),0))</f>
        <v>0</v>
      </c>
      <c r="I175" s="24" t="str">
        <f>IF($A175="","",IFERROR(INDEX('4'!$A$107:$A$206,MATCH($A175,'4'!$C$107:$C$206,0)),""))</f>
        <v/>
      </c>
      <c r="J175" s="15">
        <f>IF($A175="",0,IFERROR(INDEX('4'!$I$107:$I$206,MATCH($A175,'4'!$C$107:$C$206,0)),0))</f>
        <v>0</v>
      </c>
      <c r="K175" s="24" t="str">
        <f>IF($A175="","",IFERROR(INDEX('5'!$A$107:$A$206,MATCH($A175,'5'!$C$107:$C$206,0)),""))</f>
        <v/>
      </c>
      <c r="L175" s="15">
        <f>IF($A175="",0,IFERROR(INDEX('5'!$I$107:$I$206,MATCH($A175,'5'!$C$107:$C$206,0)),0))</f>
        <v>0</v>
      </c>
      <c r="M175" s="25" t="str">
        <f>IF($A175="","",D175+F175+H175+J175+L175)</f>
        <v/>
      </c>
      <c r="N175" s="26" t="str">
        <f>IF(OR($A175="",M175="",M175=0),"",RANK(M175,$M$4:$M$203,0))</f>
        <v/>
      </c>
      <c r="AA175">
        <f>Scherpenzeel!C181</f>
        <v>0</v>
      </c>
      <c r="AB175">
        <f>IF(AA175="",0,IF(COUNTIF($AA$1:AA175,AA175)=1,1,0))</f>
        <v>0</v>
      </c>
      <c r="AC175" t="str">
        <f>IF(AB175=1,COUNTIF($AB$1:AB175,1),"")</f>
        <v/>
      </c>
    </row>
    <row r="176" spans="1:29" x14ac:dyDescent="0.25">
      <c r="A176" s="13" t="str">
        <f>IFERROR(INDEX($AA$1:$AA$400,MATCH(173,$AC$1:$AC$400,0)),"")</f>
        <v/>
      </c>
      <c r="B176" s="13" t="str">
        <f>IF($A176="","",IF(IFERROR(INDEX(Barneveld!$E$40:$E$139,MATCH($A176,Barneveld!$C$40:$C$139,0)),"")&lt;&gt;"",IFERROR(INDEX(Barneveld!$E$40:$E$139,MATCH($A176,Barneveld!$C$40:$C$139,0)),""),IF(IFERROR(INDEX(Scherpenzeel!$F$107:$F$206,MATCH($A176,Scherpenzeel!$C$107:$C$206,0)),"")&lt;&gt;"",IFERROR(INDEX(Scherpenzeel!$F$107:$F$206,MATCH($A176,Scherpenzeel!$C$107:$C$206,0)),""),IF(IFERROR(INDEX('4'!$F$107:$F$206,MATCH($A176,'4'!$C$107:$C$206,0)),"")&lt;&gt;"",IFERROR(INDEX('4'!$F$107:$F$206,MATCH($A176,'4'!$C$107:$C$206,0)),""),IFERROR(INDEX('5'!$F$107:$F$206,MATCH($A176,'5'!$C$107:$C$206,0)),"")))))</f>
        <v/>
      </c>
      <c r="C176" s="24" t="str">
        <f>IF($A176="","",IFERROR(INDEX(Barneveld!$A$40:$A$139,MATCH($A176,Barneveld!$C$40:$C$139,0)),""))</f>
        <v/>
      </c>
      <c r="D176" s="15">
        <f>IF($A176="",0,IFERROR(INDEX(Barneveld!$H$40:$H$139,MATCH($A176,Barneveld!$C$40:$C$139,0)),0))</f>
        <v>0</v>
      </c>
      <c r="E176" s="24" t="str">
        <f>""</f>
        <v/>
      </c>
      <c r="F176" s="15">
        <f>0</f>
        <v>0</v>
      </c>
      <c r="G176" s="24" t="str">
        <f>IF($A176="","",IFERROR(INDEX(Scherpenzeel!$A$107:$A$206,MATCH($A176,Scherpenzeel!$C$107:$C$206,0)),""))</f>
        <v/>
      </c>
      <c r="H176" s="15">
        <f>IF($A176="",0,IFERROR(INDEX(Scherpenzeel!$I$107:$I$206,MATCH($A176,Scherpenzeel!$C$107:$C$206,0)),0))</f>
        <v>0</v>
      </c>
      <c r="I176" s="24" t="str">
        <f>IF($A176="","",IFERROR(INDEX('4'!$A$107:$A$206,MATCH($A176,'4'!$C$107:$C$206,0)),""))</f>
        <v/>
      </c>
      <c r="J176" s="15">
        <f>IF($A176="",0,IFERROR(INDEX('4'!$I$107:$I$206,MATCH($A176,'4'!$C$107:$C$206,0)),0))</f>
        <v>0</v>
      </c>
      <c r="K176" s="24" t="str">
        <f>IF($A176="","",IFERROR(INDEX('5'!$A$107:$A$206,MATCH($A176,'5'!$C$107:$C$206,0)),""))</f>
        <v/>
      </c>
      <c r="L176" s="15">
        <f>IF($A176="",0,IFERROR(INDEX('5'!$I$107:$I$206,MATCH($A176,'5'!$C$107:$C$206,0)),0))</f>
        <v>0</v>
      </c>
      <c r="M176" s="25" t="str">
        <f>IF($A176="","",D176+F176+H176+J176+L176)</f>
        <v/>
      </c>
      <c r="N176" s="26" t="str">
        <f>IF(OR($A176="",M176="",M176=0),"",RANK(M176,$M$4:$M$203,0))</f>
        <v/>
      </c>
      <c r="AA176">
        <f>Scherpenzeel!C182</f>
        <v>0</v>
      </c>
      <c r="AB176">
        <f>IF(AA176="",0,IF(COUNTIF($AA$1:AA176,AA176)=1,1,0))</f>
        <v>0</v>
      </c>
      <c r="AC176" t="str">
        <f>IF(AB176=1,COUNTIF($AB$1:AB176,1),"")</f>
        <v/>
      </c>
    </row>
    <row r="177" spans="1:29" x14ac:dyDescent="0.25">
      <c r="A177" s="13" t="str">
        <f>IFERROR(INDEX($AA$1:$AA$400,MATCH(174,$AC$1:$AC$400,0)),"")</f>
        <v/>
      </c>
      <c r="B177" s="13" t="str">
        <f>IF($A177="","",IF(IFERROR(INDEX(Barneveld!$E$40:$E$139,MATCH($A177,Barneveld!$C$40:$C$139,0)),"")&lt;&gt;"",IFERROR(INDEX(Barneveld!$E$40:$E$139,MATCH($A177,Barneveld!$C$40:$C$139,0)),""),IF(IFERROR(INDEX(Scherpenzeel!$F$107:$F$206,MATCH($A177,Scherpenzeel!$C$107:$C$206,0)),"")&lt;&gt;"",IFERROR(INDEX(Scherpenzeel!$F$107:$F$206,MATCH($A177,Scherpenzeel!$C$107:$C$206,0)),""),IF(IFERROR(INDEX('4'!$F$107:$F$206,MATCH($A177,'4'!$C$107:$C$206,0)),"")&lt;&gt;"",IFERROR(INDEX('4'!$F$107:$F$206,MATCH($A177,'4'!$C$107:$C$206,0)),""),IFERROR(INDEX('5'!$F$107:$F$206,MATCH($A177,'5'!$C$107:$C$206,0)),"")))))</f>
        <v/>
      </c>
      <c r="C177" s="24" t="str">
        <f>IF($A177="","",IFERROR(INDEX(Barneveld!$A$40:$A$139,MATCH($A177,Barneveld!$C$40:$C$139,0)),""))</f>
        <v/>
      </c>
      <c r="D177" s="15">
        <f>IF($A177="",0,IFERROR(INDEX(Barneveld!$H$40:$H$139,MATCH($A177,Barneveld!$C$40:$C$139,0)),0))</f>
        <v>0</v>
      </c>
      <c r="E177" s="24" t="str">
        <f>""</f>
        <v/>
      </c>
      <c r="F177" s="15">
        <f>0</f>
        <v>0</v>
      </c>
      <c r="G177" s="24" t="str">
        <f>IF($A177="","",IFERROR(INDEX(Scherpenzeel!$A$107:$A$206,MATCH($A177,Scherpenzeel!$C$107:$C$206,0)),""))</f>
        <v/>
      </c>
      <c r="H177" s="15">
        <f>IF($A177="",0,IFERROR(INDEX(Scherpenzeel!$I$107:$I$206,MATCH($A177,Scherpenzeel!$C$107:$C$206,0)),0))</f>
        <v>0</v>
      </c>
      <c r="I177" s="24" t="str">
        <f>IF($A177="","",IFERROR(INDEX('4'!$A$107:$A$206,MATCH($A177,'4'!$C$107:$C$206,0)),""))</f>
        <v/>
      </c>
      <c r="J177" s="15">
        <f>IF($A177="",0,IFERROR(INDEX('4'!$I$107:$I$206,MATCH($A177,'4'!$C$107:$C$206,0)),0))</f>
        <v>0</v>
      </c>
      <c r="K177" s="24" t="str">
        <f>IF($A177="","",IFERROR(INDEX('5'!$A$107:$A$206,MATCH($A177,'5'!$C$107:$C$206,0)),""))</f>
        <v/>
      </c>
      <c r="L177" s="15">
        <f>IF($A177="",0,IFERROR(INDEX('5'!$I$107:$I$206,MATCH($A177,'5'!$C$107:$C$206,0)),0))</f>
        <v>0</v>
      </c>
      <c r="M177" s="25" t="str">
        <f>IF($A177="","",D177+F177+H177+J177+L177)</f>
        <v/>
      </c>
      <c r="N177" s="26" t="str">
        <f>IF(OR($A177="",M177="",M177=0),"",RANK(M177,$M$4:$M$203,0))</f>
        <v/>
      </c>
      <c r="AA177">
        <f>Scherpenzeel!C183</f>
        <v>0</v>
      </c>
      <c r="AB177">
        <f>IF(AA177="",0,IF(COUNTIF($AA$1:AA177,AA177)=1,1,0))</f>
        <v>0</v>
      </c>
      <c r="AC177" t="str">
        <f>IF(AB177=1,COUNTIF($AB$1:AB177,1),"")</f>
        <v/>
      </c>
    </row>
    <row r="178" spans="1:29" x14ac:dyDescent="0.25">
      <c r="A178" s="13" t="str">
        <f>IFERROR(INDEX($AA$1:$AA$400,MATCH(175,$AC$1:$AC$400,0)),"")</f>
        <v/>
      </c>
      <c r="B178" s="13" t="str">
        <f>IF($A178="","",IF(IFERROR(INDEX(Barneveld!$E$40:$E$139,MATCH($A178,Barneveld!$C$40:$C$139,0)),"")&lt;&gt;"",IFERROR(INDEX(Barneveld!$E$40:$E$139,MATCH($A178,Barneveld!$C$40:$C$139,0)),""),IF(IFERROR(INDEX(Scherpenzeel!$F$107:$F$206,MATCH($A178,Scherpenzeel!$C$107:$C$206,0)),"")&lt;&gt;"",IFERROR(INDEX(Scherpenzeel!$F$107:$F$206,MATCH($A178,Scherpenzeel!$C$107:$C$206,0)),""),IF(IFERROR(INDEX('4'!$F$107:$F$206,MATCH($A178,'4'!$C$107:$C$206,0)),"")&lt;&gt;"",IFERROR(INDEX('4'!$F$107:$F$206,MATCH($A178,'4'!$C$107:$C$206,0)),""),IFERROR(INDEX('5'!$F$107:$F$206,MATCH($A178,'5'!$C$107:$C$206,0)),"")))))</f>
        <v/>
      </c>
      <c r="C178" s="24" t="str">
        <f>IF($A178="","",IFERROR(INDEX(Barneveld!$A$40:$A$139,MATCH($A178,Barneveld!$C$40:$C$139,0)),""))</f>
        <v/>
      </c>
      <c r="D178" s="15">
        <f>IF($A178="",0,IFERROR(INDEX(Barneveld!$H$40:$H$139,MATCH($A178,Barneveld!$C$40:$C$139,0)),0))</f>
        <v>0</v>
      </c>
      <c r="E178" s="24" t="str">
        <f>""</f>
        <v/>
      </c>
      <c r="F178" s="15">
        <f>0</f>
        <v>0</v>
      </c>
      <c r="G178" s="24" t="str">
        <f>IF($A178="","",IFERROR(INDEX(Scherpenzeel!$A$107:$A$206,MATCH($A178,Scherpenzeel!$C$107:$C$206,0)),""))</f>
        <v/>
      </c>
      <c r="H178" s="15">
        <f>IF($A178="",0,IFERROR(INDEX(Scherpenzeel!$I$107:$I$206,MATCH($A178,Scherpenzeel!$C$107:$C$206,0)),0))</f>
        <v>0</v>
      </c>
      <c r="I178" s="24" t="str">
        <f>IF($A178="","",IFERROR(INDEX('4'!$A$107:$A$206,MATCH($A178,'4'!$C$107:$C$206,0)),""))</f>
        <v/>
      </c>
      <c r="J178" s="15">
        <f>IF($A178="",0,IFERROR(INDEX('4'!$I$107:$I$206,MATCH($A178,'4'!$C$107:$C$206,0)),0))</f>
        <v>0</v>
      </c>
      <c r="K178" s="24" t="str">
        <f>IF($A178="","",IFERROR(INDEX('5'!$A$107:$A$206,MATCH($A178,'5'!$C$107:$C$206,0)),""))</f>
        <v/>
      </c>
      <c r="L178" s="15">
        <f>IF($A178="",0,IFERROR(INDEX('5'!$I$107:$I$206,MATCH($A178,'5'!$C$107:$C$206,0)),0))</f>
        <v>0</v>
      </c>
      <c r="M178" s="25" t="str">
        <f>IF($A178="","",D178+F178+H178+J178+L178)</f>
        <v/>
      </c>
      <c r="N178" s="26" t="str">
        <f>IF(OR($A178="",M178="",M178=0),"",RANK(M178,$M$4:$M$203,0))</f>
        <v/>
      </c>
      <c r="AA178">
        <f>Scherpenzeel!C184</f>
        <v>0</v>
      </c>
      <c r="AB178">
        <f>IF(AA178="",0,IF(COUNTIF($AA$1:AA178,AA178)=1,1,0))</f>
        <v>0</v>
      </c>
      <c r="AC178" t="str">
        <f>IF(AB178=1,COUNTIF($AB$1:AB178,1),"")</f>
        <v/>
      </c>
    </row>
    <row r="179" spans="1:29" x14ac:dyDescent="0.25">
      <c r="A179" s="13" t="str">
        <f>IFERROR(INDEX($AA$1:$AA$400,MATCH(176,$AC$1:$AC$400,0)),"")</f>
        <v/>
      </c>
      <c r="B179" s="13" t="str">
        <f>IF($A179="","",IF(IFERROR(INDEX(Barneveld!$E$40:$E$139,MATCH($A179,Barneveld!$C$40:$C$139,0)),"")&lt;&gt;"",IFERROR(INDEX(Barneveld!$E$40:$E$139,MATCH($A179,Barneveld!$C$40:$C$139,0)),""),IF(IFERROR(INDEX(Scherpenzeel!$F$107:$F$206,MATCH($A179,Scherpenzeel!$C$107:$C$206,0)),"")&lt;&gt;"",IFERROR(INDEX(Scherpenzeel!$F$107:$F$206,MATCH($A179,Scherpenzeel!$C$107:$C$206,0)),""),IF(IFERROR(INDEX('4'!$F$107:$F$206,MATCH($A179,'4'!$C$107:$C$206,0)),"")&lt;&gt;"",IFERROR(INDEX('4'!$F$107:$F$206,MATCH($A179,'4'!$C$107:$C$206,0)),""),IFERROR(INDEX('5'!$F$107:$F$206,MATCH($A179,'5'!$C$107:$C$206,0)),"")))))</f>
        <v/>
      </c>
      <c r="C179" s="24" t="str">
        <f>IF($A179="","",IFERROR(INDEX(Barneveld!$A$40:$A$139,MATCH($A179,Barneveld!$C$40:$C$139,0)),""))</f>
        <v/>
      </c>
      <c r="D179" s="15">
        <f>IF($A179="",0,IFERROR(INDEX(Barneveld!$H$40:$H$139,MATCH($A179,Barneveld!$C$40:$C$139,0)),0))</f>
        <v>0</v>
      </c>
      <c r="E179" s="24" t="str">
        <f>""</f>
        <v/>
      </c>
      <c r="F179" s="15">
        <f>0</f>
        <v>0</v>
      </c>
      <c r="G179" s="24" t="str">
        <f>IF($A179="","",IFERROR(INDEX(Scherpenzeel!$A$107:$A$206,MATCH($A179,Scherpenzeel!$C$107:$C$206,0)),""))</f>
        <v/>
      </c>
      <c r="H179" s="15">
        <f>IF($A179="",0,IFERROR(INDEX(Scherpenzeel!$I$107:$I$206,MATCH($A179,Scherpenzeel!$C$107:$C$206,0)),0))</f>
        <v>0</v>
      </c>
      <c r="I179" s="24" t="str">
        <f>IF($A179="","",IFERROR(INDEX('4'!$A$107:$A$206,MATCH($A179,'4'!$C$107:$C$206,0)),""))</f>
        <v/>
      </c>
      <c r="J179" s="15">
        <f>IF($A179="",0,IFERROR(INDEX('4'!$I$107:$I$206,MATCH($A179,'4'!$C$107:$C$206,0)),0))</f>
        <v>0</v>
      </c>
      <c r="K179" s="24" t="str">
        <f>IF($A179="","",IFERROR(INDEX('5'!$A$107:$A$206,MATCH($A179,'5'!$C$107:$C$206,0)),""))</f>
        <v/>
      </c>
      <c r="L179" s="15">
        <f>IF($A179="",0,IFERROR(INDEX('5'!$I$107:$I$206,MATCH($A179,'5'!$C$107:$C$206,0)),0))</f>
        <v>0</v>
      </c>
      <c r="M179" s="25" t="str">
        <f>IF($A179="","",D179+F179+H179+J179+L179)</f>
        <v/>
      </c>
      <c r="N179" s="26" t="str">
        <f>IF(OR($A179="",M179="",M179=0),"",RANK(M179,$M$4:$M$203,0))</f>
        <v/>
      </c>
      <c r="AA179">
        <f>Scherpenzeel!C185</f>
        <v>0</v>
      </c>
      <c r="AB179">
        <f>IF(AA179="",0,IF(COUNTIF($AA$1:AA179,AA179)=1,1,0))</f>
        <v>0</v>
      </c>
      <c r="AC179" t="str">
        <f>IF(AB179=1,COUNTIF($AB$1:AB179,1),"")</f>
        <v/>
      </c>
    </row>
    <row r="180" spans="1:29" x14ac:dyDescent="0.25">
      <c r="A180" s="13" t="str">
        <f>IFERROR(INDEX($AA$1:$AA$400,MATCH(177,$AC$1:$AC$400,0)),"")</f>
        <v/>
      </c>
      <c r="B180" s="13" t="str">
        <f>IF($A180="","",IF(IFERROR(INDEX(Barneveld!$E$40:$E$139,MATCH($A180,Barneveld!$C$40:$C$139,0)),"")&lt;&gt;"",IFERROR(INDEX(Barneveld!$E$40:$E$139,MATCH($A180,Barneveld!$C$40:$C$139,0)),""),IF(IFERROR(INDEX(Scherpenzeel!$F$107:$F$206,MATCH($A180,Scherpenzeel!$C$107:$C$206,0)),"")&lt;&gt;"",IFERROR(INDEX(Scherpenzeel!$F$107:$F$206,MATCH($A180,Scherpenzeel!$C$107:$C$206,0)),""),IF(IFERROR(INDEX('4'!$F$107:$F$206,MATCH($A180,'4'!$C$107:$C$206,0)),"")&lt;&gt;"",IFERROR(INDEX('4'!$F$107:$F$206,MATCH($A180,'4'!$C$107:$C$206,0)),""),IFERROR(INDEX('5'!$F$107:$F$206,MATCH($A180,'5'!$C$107:$C$206,0)),"")))))</f>
        <v/>
      </c>
      <c r="C180" s="24" t="str">
        <f>IF($A180="","",IFERROR(INDEX(Barneveld!$A$40:$A$139,MATCH($A180,Barneveld!$C$40:$C$139,0)),""))</f>
        <v/>
      </c>
      <c r="D180" s="15">
        <f>IF($A180="",0,IFERROR(INDEX(Barneveld!$H$40:$H$139,MATCH($A180,Barneveld!$C$40:$C$139,0)),0))</f>
        <v>0</v>
      </c>
      <c r="E180" s="24" t="str">
        <f>""</f>
        <v/>
      </c>
      <c r="F180" s="15">
        <f>0</f>
        <v>0</v>
      </c>
      <c r="G180" s="24" t="str">
        <f>IF($A180="","",IFERROR(INDEX(Scherpenzeel!$A$107:$A$206,MATCH($A180,Scherpenzeel!$C$107:$C$206,0)),""))</f>
        <v/>
      </c>
      <c r="H180" s="15">
        <f>IF($A180="",0,IFERROR(INDEX(Scherpenzeel!$I$107:$I$206,MATCH($A180,Scherpenzeel!$C$107:$C$206,0)),0))</f>
        <v>0</v>
      </c>
      <c r="I180" s="24" t="str">
        <f>IF($A180="","",IFERROR(INDEX('4'!$A$107:$A$206,MATCH($A180,'4'!$C$107:$C$206,0)),""))</f>
        <v/>
      </c>
      <c r="J180" s="15">
        <f>IF($A180="",0,IFERROR(INDEX('4'!$I$107:$I$206,MATCH($A180,'4'!$C$107:$C$206,0)),0))</f>
        <v>0</v>
      </c>
      <c r="K180" s="24" t="str">
        <f>IF($A180="","",IFERROR(INDEX('5'!$A$107:$A$206,MATCH($A180,'5'!$C$107:$C$206,0)),""))</f>
        <v/>
      </c>
      <c r="L180" s="15">
        <f>IF($A180="",0,IFERROR(INDEX('5'!$I$107:$I$206,MATCH($A180,'5'!$C$107:$C$206,0)),0))</f>
        <v>0</v>
      </c>
      <c r="M180" s="25" t="str">
        <f>IF($A180="","",D180+F180+H180+J180+L180)</f>
        <v/>
      </c>
      <c r="N180" s="26" t="str">
        <f>IF(OR($A180="",M180="",M180=0),"",RANK(M180,$M$4:$M$203,0))</f>
        <v/>
      </c>
      <c r="AA180">
        <f>Scherpenzeel!C186</f>
        <v>0</v>
      </c>
      <c r="AB180">
        <f>IF(AA180="",0,IF(COUNTIF($AA$1:AA180,AA180)=1,1,0))</f>
        <v>0</v>
      </c>
      <c r="AC180" t="str">
        <f>IF(AB180=1,COUNTIF($AB$1:AB180,1),"")</f>
        <v/>
      </c>
    </row>
    <row r="181" spans="1:29" x14ac:dyDescent="0.25">
      <c r="A181" s="13" t="str">
        <f>IFERROR(INDEX($AA$1:$AA$400,MATCH(178,$AC$1:$AC$400,0)),"")</f>
        <v/>
      </c>
      <c r="B181" s="13" t="str">
        <f>IF($A181="","",IF(IFERROR(INDEX(Barneveld!$E$40:$E$139,MATCH($A181,Barneveld!$C$40:$C$139,0)),"")&lt;&gt;"",IFERROR(INDEX(Barneveld!$E$40:$E$139,MATCH($A181,Barneveld!$C$40:$C$139,0)),""),IF(IFERROR(INDEX(Scherpenzeel!$F$107:$F$206,MATCH($A181,Scherpenzeel!$C$107:$C$206,0)),"")&lt;&gt;"",IFERROR(INDEX(Scherpenzeel!$F$107:$F$206,MATCH($A181,Scherpenzeel!$C$107:$C$206,0)),""),IF(IFERROR(INDEX('4'!$F$107:$F$206,MATCH($A181,'4'!$C$107:$C$206,0)),"")&lt;&gt;"",IFERROR(INDEX('4'!$F$107:$F$206,MATCH($A181,'4'!$C$107:$C$206,0)),""),IFERROR(INDEX('5'!$F$107:$F$206,MATCH($A181,'5'!$C$107:$C$206,0)),"")))))</f>
        <v/>
      </c>
      <c r="C181" s="24" t="str">
        <f>IF($A181="","",IFERROR(INDEX(Barneveld!$A$40:$A$139,MATCH($A181,Barneveld!$C$40:$C$139,0)),""))</f>
        <v/>
      </c>
      <c r="D181" s="15">
        <f>IF($A181="",0,IFERROR(INDEX(Barneveld!$H$40:$H$139,MATCH($A181,Barneveld!$C$40:$C$139,0)),0))</f>
        <v>0</v>
      </c>
      <c r="E181" s="24" t="str">
        <f>""</f>
        <v/>
      </c>
      <c r="F181" s="15">
        <f>0</f>
        <v>0</v>
      </c>
      <c r="G181" s="24" t="str">
        <f>IF($A181="","",IFERROR(INDEX(Scherpenzeel!$A$107:$A$206,MATCH($A181,Scherpenzeel!$C$107:$C$206,0)),""))</f>
        <v/>
      </c>
      <c r="H181" s="15">
        <f>IF($A181="",0,IFERROR(INDEX(Scherpenzeel!$I$107:$I$206,MATCH($A181,Scherpenzeel!$C$107:$C$206,0)),0))</f>
        <v>0</v>
      </c>
      <c r="I181" s="24" t="str">
        <f>IF($A181="","",IFERROR(INDEX('4'!$A$107:$A$206,MATCH($A181,'4'!$C$107:$C$206,0)),""))</f>
        <v/>
      </c>
      <c r="J181" s="15">
        <f>IF($A181="",0,IFERROR(INDEX('4'!$I$107:$I$206,MATCH($A181,'4'!$C$107:$C$206,0)),0))</f>
        <v>0</v>
      </c>
      <c r="K181" s="24" t="str">
        <f>IF($A181="","",IFERROR(INDEX('5'!$A$107:$A$206,MATCH($A181,'5'!$C$107:$C$206,0)),""))</f>
        <v/>
      </c>
      <c r="L181" s="15">
        <f>IF($A181="",0,IFERROR(INDEX('5'!$I$107:$I$206,MATCH($A181,'5'!$C$107:$C$206,0)),0))</f>
        <v>0</v>
      </c>
      <c r="M181" s="25" t="str">
        <f>IF($A181="","",D181+F181+H181+J181+L181)</f>
        <v/>
      </c>
      <c r="N181" s="26" t="str">
        <f>IF(OR($A181="",M181="",M181=0),"",RANK(M181,$M$4:$M$203,0))</f>
        <v/>
      </c>
      <c r="AA181">
        <f>Scherpenzeel!C187</f>
        <v>0</v>
      </c>
      <c r="AB181">
        <f>IF(AA181="",0,IF(COUNTIF($AA$1:AA181,AA181)=1,1,0))</f>
        <v>0</v>
      </c>
      <c r="AC181" t="str">
        <f>IF(AB181=1,COUNTIF($AB$1:AB181,1),"")</f>
        <v/>
      </c>
    </row>
    <row r="182" spans="1:29" x14ac:dyDescent="0.25">
      <c r="A182" s="13" t="str">
        <f>IFERROR(INDEX($AA$1:$AA$400,MATCH(179,$AC$1:$AC$400,0)),"")</f>
        <v/>
      </c>
      <c r="B182" s="13" t="str">
        <f>IF($A182="","",IF(IFERROR(INDEX(Barneveld!$E$40:$E$139,MATCH($A182,Barneveld!$C$40:$C$139,0)),"")&lt;&gt;"",IFERROR(INDEX(Barneveld!$E$40:$E$139,MATCH($A182,Barneveld!$C$40:$C$139,0)),""),IF(IFERROR(INDEX(Scherpenzeel!$F$107:$F$206,MATCH($A182,Scherpenzeel!$C$107:$C$206,0)),"")&lt;&gt;"",IFERROR(INDEX(Scherpenzeel!$F$107:$F$206,MATCH($A182,Scherpenzeel!$C$107:$C$206,0)),""),IF(IFERROR(INDEX('4'!$F$107:$F$206,MATCH($A182,'4'!$C$107:$C$206,0)),"")&lt;&gt;"",IFERROR(INDEX('4'!$F$107:$F$206,MATCH($A182,'4'!$C$107:$C$206,0)),""),IFERROR(INDEX('5'!$F$107:$F$206,MATCH($A182,'5'!$C$107:$C$206,0)),"")))))</f>
        <v/>
      </c>
      <c r="C182" s="24" t="str">
        <f>IF($A182="","",IFERROR(INDEX(Barneveld!$A$40:$A$139,MATCH($A182,Barneveld!$C$40:$C$139,0)),""))</f>
        <v/>
      </c>
      <c r="D182" s="15">
        <f>IF($A182="",0,IFERROR(INDEX(Barneveld!$H$40:$H$139,MATCH($A182,Barneveld!$C$40:$C$139,0)),0))</f>
        <v>0</v>
      </c>
      <c r="E182" s="24" t="str">
        <f>""</f>
        <v/>
      </c>
      <c r="F182" s="15">
        <f>0</f>
        <v>0</v>
      </c>
      <c r="G182" s="24" t="str">
        <f>IF($A182="","",IFERROR(INDEX(Scherpenzeel!$A$107:$A$206,MATCH($A182,Scherpenzeel!$C$107:$C$206,0)),""))</f>
        <v/>
      </c>
      <c r="H182" s="15">
        <f>IF($A182="",0,IFERROR(INDEX(Scherpenzeel!$I$107:$I$206,MATCH($A182,Scherpenzeel!$C$107:$C$206,0)),0))</f>
        <v>0</v>
      </c>
      <c r="I182" s="24" t="str">
        <f>IF($A182="","",IFERROR(INDEX('4'!$A$107:$A$206,MATCH($A182,'4'!$C$107:$C$206,0)),""))</f>
        <v/>
      </c>
      <c r="J182" s="15">
        <f>IF($A182="",0,IFERROR(INDEX('4'!$I$107:$I$206,MATCH($A182,'4'!$C$107:$C$206,0)),0))</f>
        <v>0</v>
      </c>
      <c r="K182" s="24" t="str">
        <f>IF($A182="","",IFERROR(INDEX('5'!$A$107:$A$206,MATCH($A182,'5'!$C$107:$C$206,0)),""))</f>
        <v/>
      </c>
      <c r="L182" s="15">
        <f>IF($A182="",0,IFERROR(INDEX('5'!$I$107:$I$206,MATCH($A182,'5'!$C$107:$C$206,0)),0))</f>
        <v>0</v>
      </c>
      <c r="M182" s="25" t="str">
        <f>IF($A182="","",D182+F182+H182+J182+L182)</f>
        <v/>
      </c>
      <c r="N182" s="26" t="str">
        <f>IF(OR($A182="",M182="",M182=0),"",RANK(M182,$M$4:$M$203,0))</f>
        <v/>
      </c>
      <c r="AA182">
        <f>Scherpenzeel!C188</f>
        <v>0</v>
      </c>
      <c r="AB182">
        <f>IF(AA182="",0,IF(COUNTIF($AA$1:AA182,AA182)=1,1,0))</f>
        <v>0</v>
      </c>
      <c r="AC182" t="str">
        <f>IF(AB182=1,COUNTIF($AB$1:AB182,1),"")</f>
        <v/>
      </c>
    </row>
    <row r="183" spans="1:29" x14ac:dyDescent="0.25">
      <c r="A183" s="13" t="str">
        <f>IFERROR(INDEX($AA$1:$AA$400,MATCH(180,$AC$1:$AC$400,0)),"")</f>
        <v/>
      </c>
      <c r="B183" s="13" t="str">
        <f>IF($A183="","",IF(IFERROR(INDEX(Barneveld!$E$40:$E$139,MATCH($A183,Barneveld!$C$40:$C$139,0)),"")&lt;&gt;"",IFERROR(INDEX(Barneveld!$E$40:$E$139,MATCH($A183,Barneveld!$C$40:$C$139,0)),""),IF(IFERROR(INDEX(Scherpenzeel!$F$107:$F$206,MATCH($A183,Scherpenzeel!$C$107:$C$206,0)),"")&lt;&gt;"",IFERROR(INDEX(Scherpenzeel!$F$107:$F$206,MATCH($A183,Scherpenzeel!$C$107:$C$206,0)),""),IF(IFERROR(INDEX('4'!$F$107:$F$206,MATCH($A183,'4'!$C$107:$C$206,0)),"")&lt;&gt;"",IFERROR(INDEX('4'!$F$107:$F$206,MATCH($A183,'4'!$C$107:$C$206,0)),""),IFERROR(INDEX('5'!$F$107:$F$206,MATCH($A183,'5'!$C$107:$C$206,0)),"")))))</f>
        <v/>
      </c>
      <c r="C183" s="24" t="str">
        <f>IF($A183="","",IFERROR(INDEX(Barneveld!$A$40:$A$139,MATCH($A183,Barneveld!$C$40:$C$139,0)),""))</f>
        <v/>
      </c>
      <c r="D183" s="15">
        <f>IF($A183="",0,IFERROR(INDEX(Barneveld!$H$40:$H$139,MATCH($A183,Barneveld!$C$40:$C$139,0)),0))</f>
        <v>0</v>
      </c>
      <c r="E183" s="24" t="str">
        <f>""</f>
        <v/>
      </c>
      <c r="F183" s="15">
        <f>0</f>
        <v>0</v>
      </c>
      <c r="G183" s="24" t="str">
        <f>IF($A183="","",IFERROR(INDEX(Scherpenzeel!$A$107:$A$206,MATCH($A183,Scherpenzeel!$C$107:$C$206,0)),""))</f>
        <v/>
      </c>
      <c r="H183" s="15">
        <f>IF($A183="",0,IFERROR(INDEX(Scherpenzeel!$I$107:$I$206,MATCH($A183,Scherpenzeel!$C$107:$C$206,0)),0))</f>
        <v>0</v>
      </c>
      <c r="I183" s="24" t="str">
        <f>IF($A183="","",IFERROR(INDEX('4'!$A$107:$A$206,MATCH($A183,'4'!$C$107:$C$206,0)),""))</f>
        <v/>
      </c>
      <c r="J183" s="15">
        <f>IF($A183="",0,IFERROR(INDEX('4'!$I$107:$I$206,MATCH($A183,'4'!$C$107:$C$206,0)),0))</f>
        <v>0</v>
      </c>
      <c r="K183" s="24" t="str">
        <f>IF($A183="","",IFERROR(INDEX('5'!$A$107:$A$206,MATCH($A183,'5'!$C$107:$C$206,0)),""))</f>
        <v/>
      </c>
      <c r="L183" s="15">
        <f>IF($A183="",0,IFERROR(INDEX('5'!$I$107:$I$206,MATCH($A183,'5'!$C$107:$C$206,0)),0))</f>
        <v>0</v>
      </c>
      <c r="M183" s="25" t="str">
        <f>IF($A183="","",D183+F183+H183+J183+L183)</f>
        <v/>
      </c>
      <c r="N183" s="26" t="str">
        <f>IF(OR($A183="",M183="",M183=0),"",RANK(M183,$M$4:$M$203,0))</f>
        <v/>
      </c>
      <c r="AA183">
        <f>Scherpenzeel!C189</f>
        <v>0</v>
      </c>
      <c r="AB183">
        <f>IF(AA183="",0,IF(COUNTIF($AA$1:AA183,AA183)=1,1,0))</f>
        <v>0</v>
      </c>
      <c r="AC183" t="str">
        <f>IF(AB183=1,COUNTIF($AB$1:AB183,1),"")</f>
        <v/>
      </c>
    </row>
    <row r="184" spans="1:29" x14ac:dyDescent="0.25">
      <c r="A184" s="13" t="str">
        <f>IFERROR(INDEX($AA$1:$AA$400,MATCH(181,$AC$1:$AC$400,0)),"")</f>
        <v/>
      </c>
      <c r="B184" s="13" t="str">
        <f>IF($A184="","",IF(IFERROR(INDEX(Barneveld!$E$40:$E$139,MATCH($A184,Barneveld!$C$40:$C$139,0)),"")&lt;&gt;"",IFERROR(INDEX(Barneveld!$E$40:$E$139,MATCH($A184,Barneveld!$C$40:$C$139,0)),""),IF(IFERROR(INDEX(Scherpenzeel!$F$107:$F$206,MATCH($A184,Scherpenzeel!$C$107:$C$206,0)),"")&lt;&gt;"",IFERROR(INDEX(Scherpenzeel!$F$107:$F$206,MATCH($A184,Scherpenzeel!$C$107:$C$206,0)),""),IF(IFERROR(INDEX('4'!$F$107:$F$206,MATCH($A184,'4'!$C$107:$C$206,0)),"")&lt;&gt;"",IFERROR(INDEX('4'!$F$107:$F$206,MATCH($A184,'4'!$C$107:$C$206,0)),""),IFERROR(INDEX('5'!$F$107:$F$206,MATCH($A184,'5'!$C$107:$C$206,0)),"")))))</f>
        <v/>
      </c>
      <c r="C184" s="24" t="str">
        <f>IF($A184="","",IFERROR(INDEX(Barneveld!$A$40:$A$139,MATCH($A184,Barneveld!$C$40:$C$139,0)),""))</f>
        <v/>
      </c>
      <c r="D184" s="15">
        <f>IF($A184="",0,IFERROR(INDEX(Barneveld!$H$40:$H$139,MATCH($A184,Barneveld!$C$40:$C$139,0)),0))</f>
        <v>0</v>
      </c>
      <c r="E184" s="24" t="str">
        <f>""</f>
        <v/>
      </c>
      <c r="F184" s="15">
        <f>0</f>
        <v>0</v>
      </c>
      <c r="G184" s="24" t="str">
        <f>IF($A184="","",IFERROR(INDEX(Scherpenzeel!$A$107:$A$206,MATCH($A184,Scherpenzeel!$C$107:$C$206,0)),""))</f>
        <v/>
      </c>
      <c r="H184" s="15">
        <f>IF($A184="",0,IFERROR(INDEX(Scherpenzeel!$I$107:$I$206,MATCH($A184,Scherpenzeel!$C$107:$C$206,0)),0))</f>
        <v>0</v>
      </c>
      <c r="I184" s="24" t="str">
        <f>IF($A184="","",IFERROR(INDEX('4'!$A$107:$A$206,MATCH($A184,'4'!$C$107:$C$206,0)),""))</f>
        <v/>
      </c>
      <c r="J184" s="15">
        <f>IF($A184="",0,IFERROR(INDEX('4'!$I$107:$I$206,MATCH($A184,'4'!$C$107:$C$206,0)),0))</f>
        <v>0</v>
      </c>
      <c r="K184" s="24" t="str">
        <f>IF($A184="","",IFERROR(INDEX('5'!$A$107:$A$206,MATCH($A184,'5'!$C$107:$C$206,0)),""))</f>
        <v/>
      </c>
      <c r="L184" s="15">
        <f>IF($A184="",0,IFERROR(INDEX('5'!$I$107:$I$206,MATCH($A184,'5'!$C$107:$C$206,0)),0))</f>
        <v>0</v>
      </c>
      <c r="M184" s="25" t="str">
        <f>IF($A184="","",D184+F184+H184+J184+L184)</f>
        <v/>
      </c>
      <c r="N184" s="26" t="str">
        <f>IF(OR($A184="",M184="",M184=0),"",RANK(M184,$M$4:$M$203,0))</f>
        <v/>
      </c>
      <c r="AA184">
        <f>Scherpenzeel!C190</f>
        <v>0</v>
      </c>
      <c r="AB184">
        <f>IF(AA184="",0,IF(COUNTIF($AA$1:AA184,AA184)=1,1,0))</f>
        <v>0</v>
      </c>
      <c r="AC184" t="str">
        <f>IF(AB184=1,COUNTIF($AB$1:AB184,1),"")</f>
        <v/>
      </c>
    </row>
    <row r="185" spans="1:29" x14ac:dyDescent="0.25">
      <c r="A185" s="13" t="str">
        <f>IFERROR(INDEX($AA$1:$AA$400,MATCH(182,$AC$1:$AC$400,0)),"")</f>
        <v/>
      </c>
      <c r="B185" s="13" t="str">
        <f>IF($A185="","",IF(IFERROR(INDEX(Barneveld!$E$40:$E$139,MATCH($A185,Barneveld!$C$40:$C$139,0)),"")&lt;&gt;"",IFERROR(INDEX(Barneveld!$E$40:$E$139,MATCH($A185,Barneveld!$C$40:$C$139,0)),""),IF(IFERROR(INDEX(Scherpenzeel!$F$107:$F$206,MATCH($A185,Scherpenzeel!$C$107:$C$206,0)),"")&lt;&gt;"",IFERROR(INDEX(Scherpenzeel!$F$107:$F$206,MATCH($A185,Scherpenzeel!$C$107:$C$206,0)),""),IF(IFERROR(INDEX('4'!$F$107:$F$206,MATCH($A185,'4'!$C$107:$C$206,0)),"")&lt;&gt;"",IFERROR(INDEX('4'!$F$107:$F$206,MATCH($A185,'4'!$C$107:$C$206,0)),""),IFERROR(INDEX('5'!$F$107:$F$206,MATCH($A185,'5'!$C$107:$C$206,0)),"")))))</f>
        <v/>
      </c>
      <c r="C185" s="24" t="str">
        <f>IF($A185="","",IFERROR(INDEX(Barneveld!$A$40:$A$139,MATCH($A185,Barneveld!$C$40:$C$139,0)),""))</f>
        <v/>
      </c>
      <c r="D185" s="15">
        <f>IF($A185="",0,IFERROR(INDEX(Barneveld!$H$40:$H$139,MATCH($A185,Barneveld!$C$40:$C$139,0)),0))</f>
        <v>0</v>
      </c>
      <c r="E185" s="24" t="str">
        <f>""</f>
        <v/>
      </c>
      <c r="F185" s="15">
        <f>0</f>
        <v>0</v>
      </c>
      <c r="G185" s="24" t="str">
        <f>IF($A185="","",IFERROR(INDEX(Scherpenzeel!$A$107:$A$206,MATCH($A185,Scherpenzeel!$C$107:$C$206,0)),""))</f>
        <v/>
      </c>
      <c r="H185" s="15">
        <f>IF($A185="",0,IFERROR(INDEX(Scherpenzeel!$I$107:$I$206,MATCH($A185,Scherpenzeel!$C$107:$C$206,0)),0))</f>
        <v>0</v>
      </c>
      <c r="I185" s="24" t="str">
        <f>IF($A185="","",IFERROR(INDEX('4'!$A$107:$A$206,MATCH($A185,'4'!$C$107:$C$206,0)),""))</f>
        <v/>
      </c>
      <c r="J185" s="15">
        <f>IF($A185="",0,IFERROR(INDEX('4'!$I$107:$I$206,MATCH($A185,'4'!$C$107:$C$206,0)),0))</f>
        <v>0</v>
      </c>
      <c r="K185" s="24" t="str">
        <f>IF($A185="","",IFERROR(INDEX('5'!$A$107:$A$206,MATCH($A185,'5'!$C$107:$C$206,0)),""))</f>
        <v/>
      </c>
      <c r="L185" s="15">
        <f>IF($A185="",0,IFERROR(INDEX('5'!$I$107:$I$206,MATCH($A185,'5'!$C$107:$C$206,0)),0))</f>
        <v>0</v>
      </c>
      <c r="M185" s="25" t="str">
        <f>IF($A185="","",D185+F185+H185+J185+L185)</f>
        <v/>
      </c>
      <c r="N185" s="26" t="str">
        <f>IF(OR($A185="",M185="",M185=0),"",RANK(M185,$M$4:$M$203,0))</f>
        <v/>
      </c>
      <c r="AA185">
        <f>Scherpenzeel!C191</f>
        <v>0</v>
      </c>
      <c r="AB185">
        <f>IF(AA185="",0,IF(COUNTIF($AA$1:AA185,AA185)=1,1,0))</f>
        <v>0</v>
      </c>
      <c r="AC185" t="str">
        <f>IF(AB185=1,COUNTIF($AB$1:AB185,1),"")</f>
        <v/>
      </c>
    </row>
    <row r="186" spans="1:29" x14ac:dyDescent="0.25">
      <c r="A186" s="13" t="str">
        <f>IFERROR(INDEX($AA$1:$AA$400,MATCH(183,$AC$1:$AC$400,0)),"")</f>
        <v/>
      </c>
      <c r="B186" s="13" t="str">
        <f>IF($A186="","",IF(IFERROR(INDEX(Barneveld!$E$40:$E$139,MATCH($A186,Barneveld!$C$40:$C$139,0)),"")&lt;&gt;"",IFERROR(INDEX(Barneveld!$E$40:$E$139,MATCH($A186,Barneveld!$C$40:$C$139,0)),""),IF(IFERROR(INDEX(Scherpenzeel!$F$107:$F$206,MATCH($A186,Scherpenzeel!$C$107:$C$206,0)),"")&lt;&gt;"",IFERROR(INDEX(Scherpenzeel!$F$107:$F$206,MATCH($A186,Scherpenzeel!$C$107:$C$206,0)),""),IF(IFERROR(INDEX('4'!$F$107:$F$206,MATCH($A186,'4'!$C$107:$C$206,0)),"")&lt;&gt;"",IFERROR(INDEX('4'!$F$107:$F$206,MATCH($A186,'4'!$C$107:$C$206,0)),""),IFERROR(INDEX('5'!$F$107:$F$206,MATCH($A186,'5'!$C$107:$C$206,0)),"")))))</f>
        <v/>
      </c>
      <c r="C186" s="24" t="str">
        <f>IF($A186="","",IFERROR(INDEX(Barneveld!$A$40:$A$139,MATCH($A186,Barneveld!$C$40:$C$139,0)),""))</f>
        <v/>
      </c>
      <c r="D186" s="15">
        <f>IF($A186="",0,IFERROR(INDEX(Barneveld!$H$40:$H$139,MATCH($A186,Barneveld!$C$40:$C$139,0)),0))</f>
        <v>0</v>
      </c>
      <c r="E186" s="24" t="str">
        <f>""</f>
        <v/>
      </c>
      <c r="F186" s="15">
        <f>0</f>
        <v>0</v>
      </c>
      <c r="G186" s="24" t="str">
        <f>IF($A186="","",IFERROR(INDEX(Scherpenzeel!$A$107:$A$206,MATCH($A186,Scherpenzeel!$C$107:$C$206,0)),""))</f>
        <v/>
      </c>
      <c r="H186" s="15">
        <f>IF($A186="",0,IFERROR(INDEX(Scherpenzeel!$I$107:$I$206,MATCH($A186,Scherpenzeel!$C$107:$C$206,0)),0))</f>
        <v>0</v>
      </c>
      <c r="I186" s="24" t="str">
        <f>IF($A186="","",IFERROR(INDEX('4'!$A$107:$A$206,MATCH($A186,'4'!$C$107:$C$206,0)),""))</f>
        <v/>
      </c>
      <c r="J186" s="15">
        <f>IF($A186="",0,IFERROR(INDEX('4'!$I$107:$I$206,MATCH($A186,'4'!$C$107:$C$206,0)),0))</f>
        <v>0</v>
      </c>
      <c r="K186" s="24" t="str">
        <f>IF($A186="","",IFERROR(INDEX('5'!$A$107:$A$206,MATCH($A186,'5'!$C$107:$C$206,0)),""))</f>
        <v/>
      </c>
      <c r="L186" s="15">
        <f>IF($A186="",0,IFERROR(INDEX('5'!$I$107:$I$206,MATCH($A186,'5'!$C$107:$C$206,0)),0))</f>
        <v>0</v>
      </c>
      <c r="M186" s="25" t="str">
        <f>IF($A186="","",D186+F186+H186+J186+L186)</f>
        <v/>
      </c>
      <c r="N186" s="26" t="str">
        <f>IF(OR($A186="",M186="",M186=0),"",RANK(M186,$M$4:$M$203,0))</f>
        <v/>
      </c>
      <c r="AA186">
        <f>Scherpenzeel!C192</f>
        <v>0</v>
      </c>
      <c r="AB186">
        <f>IF(AA186="",0,IF(COUNTIF($AA$1:AA186,AA186)=1,1,0))</f>
        <v>0</v>
      </c>
      <c r="AC186" t="str">
        <f>IF(AB186=1,COUNTIF($AB$1:AB186,1),"")</f>
        <v/>
      </c>
    </row>
    <row r="187" spans="1:29" x14ac:dyDescent="0.25">
      <c r="A187" s="13" t="str">
        <f>IFERROR(INDEX($AA$1:$AA$400,MATCH(184,$AC$1:$AC$400,0)),"")</f>
        <v/>
      </c>
      <c r="B187" s="13" t="str">
        <f>IF($A187="","",IF(IFERROR(INDEX(Barneveld!$E$40:$E$139,MATCH($A187,Barneveld!$C$40:$C$139,0)),"")&lt;&gt;"",IFERROR(INDEX(Barneveld!$E$40:$E$139,MATCH($A187,Barneveld!$C$40:$C$139,0)),""),IF(IFERROR(INDEX(Scherpenzeel!$F$107:$F$206,MATCH($A187,Scherpenzeel!$C$107:$C$206,0)),"")&lt;&gt;"",IFERROR(INDEX(Scherpenzeel!$F$107:$F$206,MATCH($A187,Scherpenzeel!$C$107:$C$206,0)),""),IF(IFERROR(INDEX('4'!$F$107:$F$206,MATCH($A187,'4'!$C$107:$C$206,0)),"")&lt;&gt;"",IFERROR(INDEX('4'!$F$107:$F$206,MATCH($A187,'4'!$C$107:$C$206,0)),""),IFERROR(INDEX('5'!$F$107:$F$206,MATCH($A187,'5'!$C$107:$C$206,0)),"")))))</f>
        <v/>
      </c>
      <c r="C187" s="24" t="str">
        <f>IF($A187="","",IFERROR(INDEX(Barneveld!$A$40:$A$139,MATCH($A187,Barneveld!$C$40:$C$139,0)),""))</f>
        <v/>
      </c>
      <c r="D187" s="15">
        <f>IF($A187="",0,IFERROR(INDEX(Barneveld!$H$40:$H$139,MATCH($A187,Barneveld!$C$40:$C$139,0)),0))</f>
        <v>0</v>
      </c>
      <c r="E187" s="24" t="str">
        <f>""</f>
        <v/>
      </c>
      <c r="F187" s="15">
        <f>0</f>
        <v>0</v>
      </c>
      <c r="G187" s="24" t="str">
        <f>IF($A187="","",IFERROR(INDEX(Scherpenzeel!$A$107:$A$206,MATCH($A187,Scherpenzeel!$C$107:$C$206,0)),""))</f>
        <v/>
      </c>
      <c r="H187" s="15">
        <f>IF($A187="",0,IFERROR(INDEX(Scherpenzeel!$I$107:$I$206,MATCH($A187,Scherpenzeel!$C$107:$C$206,0)),0))</f>
        <v>0</v>
      </c>
      <c r="I187" s="24" t="str">
        <f>IF($A187="","",IFERROR(INDEX('4'!$A$107:$A$206,MATCH($A187,'4'!$C$107:$C$206,0)),""))</f>
        <v/>
      </c>
      <c r="J187" s="15">
        <f>IF($A187="",0,IFERROR(INDEX('4'!$I$107:$I$206,MATCH($A187,'4'!$C$107:$C$206,0)),0))</f>
        <v>0</v>
      </c>
      <c r="K187" s="24" t="str">
        <f>IF($A187="","",IFERROR(INDEX('5'!$A$107:$A$206,MATCH($A187,'5'!$C$107:$C$206,0)),""))</f>
        <v/>
      </c>
      <c r="L187" s="15">
        <f>IF($A187="",0,IFERROR(INDEX('5'!$I$107:$I$206,MATCH($A187,'5'!$C$107:$C$206,0)),0))</f>
        <v>0</v>
      </c>
      <c r="M187" s="25" t="str">
        <f>IF($A187="","",D187+F187+H187+J187+L187)</f>
        <v/>
      </c>
      <c r="N187" s="26" t="str">
        <f>IF(OR($A187="",M187="",M187=0),"",RANK(M187,$M$4:$M$203,0))</f>
        <v/>
      </c>
      <c r="AA187">
        <f>Scherpenzeel!C193</f>
        <v>0</v>
      </c>
      <c r="AB187">
        <f>IF(AA187="",0,IF(COUNTIF($AA$1:AA187,AA187)=1,1,0))</f>
        <v>0</v>
      </c>
      <c r="AC187" t="str">
        <f>IF(AB187=1,COUNTIF($AB$1:AB187,1),"")</f>
        <v/>
      </c>
    </row>
    <row r="188" spans="1:29" x14ac:dyDescent="0.25">
      <c r="A188" s="13" t="str">
        <f>IFERROR(INDEX($AA$1:$AA$400,MATCH(185,$AC$1:$AC$400,0)),"")</f>
        <v/>
      </c>
      <c r="B188" s="13" t="str">
        <f>IF($A188="","",IF(IFERROR(INDEX(Barneveld!$E$40:$E$139,MATCH($A188,Barneveld!$C$40:$C$139,0)),"")&lt;&gt;"",IFERROR(INDEX(Barneveld!$E$40:$E$139,MATCH($A188,Barneveld!$C$40:$C$139,0)),""),IF(IFERROR(INDEX(Scherpenzeel!$F$107:$F$206,MATCH($A188,Scherpenzeel!$C$107:$C$206,0)),"")&lt;&gt;"",IFERROR(INDEX(Scherpenzeel!$F$107:$F$206,MATCH($A188,Scherpenzeel!$C$107:$C$206,0)),""),IF(IFERROR(INDEX('4'!$F$107:$F$206,MATCH($A188,'4'!$C$107:$C$206,0)),"")&lt;&gt;"",IFERROR(INDEX('4'!$F$107:$F$206,MATCH($A188,'4'!$C$107:$C$206,0)),""),IFERROR(INDEX('5'!$F$107:$F$206,MATCH($A188,'5'!$C$107:$C$206,0)),"")))))</f>
        <v/>
      </c>
      <c r="C188" s="24" t="str">
        <f>IF($A188="","",IFERROR(INDEX(Barneveld!$A$40:$A$139,MATCH($A188,Barneveld!$C$40:$C$139,0)),""))</f>
        <v/>
      </c>
      <c r="D188" s="15">
        <f>IF($A188="",0,IFERROR(INDEX(Barneveld!$H$40:$H$139,MATCH($A188,Barneveld!$C$40:$C$139,0)),0))</f>
        <v>0</v>
      </c>
      <c r="E188" s="24" t="str">
        <f>""</f>
        <v/>
      </c>
      <c r="F188" s="15">
        <f>0</f>
        <v>0</v>
      </c>
      <c r="G188" s="24" t="str">
        <f>IF($A188="","",IFERROR(INDEX(Scherpenzeel!$A$107:$A$206,MATCH($A188,Scherpenzeel!$C$107:$C$206,0)),""))</f>
        <v/>
      </c>
      <c r="H188" s="15">
        <f>IF($A188="",0,IFERROR(INDEX(Scherpenzeel!$I$107:$I$206,MATCH($A188,Scherpenzeel!$C$107:$C$206,0)),0))</f>
        <v>0</v>
      </c>
      <c r="I188" s="24" t="str">
        <f>IF($A188="","",IFERROR(INDEX('4'!$A$107:$A$206,MATCH($A188,'4'!$C$107:$C$206,0)),""))</f>
        <v/>
      </c>
      <c r="J188" s="15">
        <f>IF($A188="",0,IFERROR(INDEX('4'!$I$107:$I$206,MATCH($A188,'4'!$C$107:$C$206,0)),0))</f>
        <v>0</v>
      </c>
      <c r="K188" s="24" t="str">
        <f>IF($A188="","",IFERROR(INDEX('5'!$A$107:$A$206,MATCH($A188,'5'!$C$107:$C$206,0)),""))</f>
        <v/>
      </c>
      <c r="L188" s="15">
        <f>IF($A188="",0,IFERROR(INDEX('5'!$I$107:$I$206,MATCH($A188,'5'!$C$107:$C$206,0)),0))</f>
        <v>0</v>
      </c>
      <c r="M188" s="25" t="str">
        <f>IF($A188="","",D188+F188+H188+J188+L188)</f>
        <v/>
      </c>
      <c r="N188" s="26" t="str">
        <f>IF(OR($A188="",M188="",M188=0),"",RANK(M188,$M$4:$M$203,0))</f>
        <v/>
      </c>
      <c r="AA188">
        <f>Scherpenzeel!C194</f>
        <v>0</v>
      </c>
      <c r="AB188">
        <f>IF(AA188="",0,IF(COUNTIF($AA$1:AA188,AA188)=1,1,0))</f>
        <v>0</v>
      </c>
      <c r="AC188" t="str">
        <f>IF(AB188=1,COUNTIF($AB$1:AB188,1),"")</f>
        <v/>
      </c>
    </row>
    <row r="189" spans="1:29" x14ac:dyDescent="0.25">
      <c r="A189" s="13" t="str">
        <f>IFERROR(INDEX($AA$1:$AA$400,MATCH(186,$AC$1:$AC$400,0)),"")</f>
        <v/>
      </c>
      <c r="B189" s="13" t="str">
        <f>IF($A189="","",IF(IFERROR(INDEX(Barneveld!$E$40:$E$139,MATCH($A189,Barneveld!$C$40:$C$139,0)),"")&lt;&gt;"",IFERROR(INDEX(Barneveld!$E$40:$E$139,MATCH($A189,Barneveld!$C$40:$C$139,0)),""),IF(IFERROR(INDEX(Scherpenzeel!$F$107:$F$206,MATCH($A189,Scherpenzeel!$C$107:$C$206,0)),"")&lt;&gt;"",IFERROR(INDEX(Scherpenzeel!$F$107:$F$206,MATCH($A189,Scherpenzeel!$C$107:$C$206,0)),""),IF(IFERROR(INDEX('4'!$F$107:$F$206,MATCH($A189,'4'!$C$107:$C$206,0)),"")&lt;&gt;"",IFERROR(INDEX('4'!$F$107:$F$206,MATCH($A189,'4'!$C$107:$C$206,0)),""),IFERROR(INDEX('5'!$F$107:$F$206,MATCH($A189,'5'!$C$107:$C$206,0)),"")))))</f>
        <v/>
      </c>
      <c r="C189" s="24" t="str">
        <f>IF($A189="","",IFERROR(INDEX(Barneveld!$A$40:$A$139,MATCH($A189,Barneveld!$C$40:$C$139,0)),""))</f>
        <v/>
      </c>
      <c r="D189" s="15">
        <f>IF($A189="",0,IFERROR(INDEX(Barneveld!$H$40:$H$139,MATCH($A189,Barneveld!$C$40:$C$139,0)),0))</f>
        <v>0</v>
      </c>
      <c r="E189" s="24" t="str">
        <f>""</f>
        <v/>
      </c>
      <c r="F189" s="15">
        <f>0</f>
        <v>0</v>
      </c>
      <c r="G189" s="24" t="str">
        <f>IF($A189="","",IFERROR(INDEX(Scherpenzeel!$A$107:$A$206,MATCH($A189,Scherpenzeel!$C$107:$C$206,0)),""))</f>
        <v/>
      </c>
      <c r="H189" s="15">
        <f>IF($A189="",0,IFERROR(INDEX(Scherpenzeel!$I$107:$I$206,MATCH($A189,Scherpenzeel!$C$107:$C$206,0)),0))</f>
        <v>0</v>
      </c>
      <c r="I189" s="24" t="str">
        <f>IF($A189="","",IFERROR(INDEX('4'!$A$107:$A$206,MATCH($A189,'4'!$C$107:$C$206,0)),""))</f>
        <v/>
      </c>
      <c r="J189" s="15">
        <f>IF($A189="",0,IFERROR(INDEX('4'!$I$107:$I$206,MATCH($A189,'4'!$C$107:$C$206,0)),0))</f>
        <v>0</v>
      </c>
      <c r="K189" s="24" t="str">
        <f>IF($A189="","",IFERROR(INDEX('5'!$A$107:$A$206,MATCH($A189,'5'!$C$107:$C$206,0)),""))</f>
        <v/>
      </c>
      <c r="L189" s="15">
        <f>IF($A189="",0,IFERROR(INDEX('5'!$I$107:$I$206,MATCH($A189,'5'!$C$107:$C$206,0)),0))</f>
        <v>0</v>
      </c>
      <c r="M189" s="25" t="str">
        <f>IF($A189="","",D189+F189+H189+J189+L189)</f>
        <v/>
      </c>
      <c r="N189" s="26" t="str">
        <f>IF(OR($A189="",M189="",M189=0),"",RANK(M189,$M$4:$M$203,0))</f>
        <v/>
      </c>
      <c r="AA189">
        <f>Scherpenzeel!C195</f>
        <v>0</v>
      </c>
      <c r="AB189">
        <f>IF(AA189="",0,IF(COUNTIF($AA$1:AA189,AA189)=1,1,0))</f>
        <v>0</v>
      </c>
      <c r="AC189" t="str">
        <f>IF(AB189=1,COUNTIF($AB$1:AB189,1),"")</f>
        <v/>
      </c>
    </row>
    <row r="190" spans="1:29" x14ac:dyDescent="0.25">
      <c r="A190" s="13" t="str">
        <f>IFERROR(INDEX($AA$1:$AA$400,MATCH(187,$AC$1:$AC$400,0)),"")</f>
        <v/>
      </c>
      <c r="B190" s="13" t="str">
        <f>IF($A190="","",IF(IFERROR(INDEX(Barneveld!$E$40:$E$139,MATCH($A190,Barneveld!$C$40:$C$139,0)),"")&lt;&gt;"",IFERROR(INDEX(Barneveld!$E$40:$E$139,MATCH($A190,Barneveld!$C$40:$C$139,0)),""),IF(IFERROR(INDEX(Scherpenzeel!$F$107:$F$206,MATCH($A190,Scherpenzeel!$C$107:$C$206,0)),"")&lt;&gt;"",IFERROR(INDEX(Scherpenzeel!$F$107:$F$206,MATCH($A190,Scherpenzeel!$C$107:$C$206,0)),""),IF(IFERROR(INDEX('4'!$F$107:$F$206,MATCH($A190,'4'!$C$107:$C$206,0)),"")&lt;&gt;"",IFERROR(INDEX('4'!$F$107:$F$206,MATCH($A190,'4'!$C$107:$C$206,0)),""),IFERROR(INDEX('5'!$F$107:$F$206,MATCH($A190,'5'!$C$107:$C$206,0)),"")))))</f>
        <v/>
      </c>
      <c r="C190" s="24" t="str">
        <f>IF($A190="","",IFERROR(INDEX(Barneveld!$A$40:$A$139,MATCH($A190,Barneveld!$C$40:$C$139,0)),""))</f>
        <v/>
      </c>
      <c r="D190" s="15">
        <f>IF($A190="",0,IFERROR(INDEX(Barneveld!$H$40:$H$139,MATCH($A190,Barneveld!$C$40:$C$139,0)),0))</f>
        <v>0</v>
      </c>
      <c r="E190" s="24" t="str">
        <f>""</f>
        <v/>
      </c>
      <c r="F190" s="15">
        <f>0</f>
        <v>0</v>
      </c>
      <c r="G190" s="24" t="str">
        <f>IF($A190="","",IFERROR(INDEX(Scherpenzeel!$A$107:$A$206,MATCH($A190,Scherpenzeel!$C$107:$C$206,0)),""))</f>
        <v/>
      </c>
      <c r="H190" s="15">
        <f>IF($A190="",0,IFERROR(INDEX(Scherpenzeel!$I$107:$I$206,MATCH($A190,Scherpenzeel!$C$107:$C$206,0)),0))</f>
        <v>0</v>
      </c>
      <c r="I190" s="24" t="str">
        <f>IF($A190="","",IFERROR(INDEX('4'!$A$107:$A$206,MATCH($A190,'4'!$C$107:$C$206,0)),""))</f>
        <v/>
      </c>
      <c r="J190" s="15">
        <f>IF($A190="",0,IFERROR(INDEX('4'!$I$107:$I$206,MATCH($A190,'4'!$C$107:$C$206,0)),0))</f>
        <v>0</v>
      </c>
      <c r="K190" s="24" t="str">
        <f>IF($A190="","",IFERROR(INDEX('5'!$A$107:$A$206,MATCH($A190,'5'!$C$107:$C$206,0)),""))</f>
        <v/>
      </c>
      <c r="L190" s="15">
        <f>IF($A190="",0,IFERROR(INDEX('5'!$I$107:$I$206,MATCH($A190,'5'!$C$107:$C$206,0)),0))</f>
        <v>0</v>
      </c>
      <c r="M190" s="25" t="str">
        <f>IF($A190="","",D190+F190+H190+J190+L190)</f>
        <v/>
      </c>
      <c r="N190" s="26" t="str">
        <f>IF(OR($A190="",M190="",M190=0),"",RANK(M190,$M$4:$M$203,0))</f>
        <v/>
      </c>
      <c r="AA190">
        <f>Scherpenzeel!C196</f>
        <v>0</v>
      </c>
      <c r="AB190">
        <f>IF(AA190="",0,IF(COUNTIF($AA$1:AA190,AA190)=1,1,0))</f>
        <v>0</v>
      </c>
      <c r="AC190" t="str">
        <f>IF(AB190=1,COUNTIF($AB$1:AB190,1),"")</f>
        <v/>
      </c>
    </row>
    <row r="191" spans="1:29" x14ac:dyDescent="0.25">
      <c r="A191" s="13" t="str">
        <f>IFERROR(INDEX($AA$1:$AA$400,MATCH(188,$AC$1:$AC$400,0)),"")</f>
        <v/>
      </c>
      <c r="B191" s="13" t="str">
        <f>IF($A191="","",IF(IFERROR(INDEX(Barneveld!$E$40:$E$139,MATCH($A191,Barneveld!$C$40:$C$139,0)),"")&lt;&gt;"",IFERROR(INDEX(Barneveld!$E$40:$E$139,MATCH($A191,Barneveld!$C$40:$C$139,0)),""),IF(IFERROR(INDEX(Scherpenzeel!$F$107:$F$206,MATCH($A191,Scherpenzeel!$C$107:$C$206,0)),"")&lt;&gt;"",IFERROR(INDEX(Scherpenzeel!$F$107:$F$206,MATCH($A191,Scherpenzeel!$C$107:$C$206,0)),""),IF(IFERROR(INDEX('4'!$F$107:$F$206,MATCH($A191,'4'!$C$107:$C$206,0)),"")&lt;&gt;"",IFERROR(INDEX('4'!$F$107:$F$206,MATCH($A191,'4'!$C$107:$C$206,0)),""),IFERROR(INDEX('5'!$F$107:$F$206,MATCH($A191,'5'!$C$107:$C$206,0)),"")))))</f>
        <v/>
      </c>
      <c r="C191" s="24" t="str">
        <f>IF($A191="","",IFERROR(INDEX(Barneveld!$A$40:$A$139,MATCH($A191,Barneveld!$C$40:$C$139,0)),""))</f>
        <v/>
      </c>
      <c r="D191" s="15">
        <f>IF($A191="",0,IFERROR(INDEX(Barneveld!$H$40:$H$139,MATCH($A191,Barneveld!$C$40:$C$139,0)),0))</f>
        <v>0</v>
      </c>
      <c r="E191" s="24" t="str">
        <f>""</f>
        <v/>
      </c>
      <c r="F191" s="15">
        <f>0</f>
        <v>0</v>
      </c>
      <c r="G191" s="24" t="str">
        <f>IF($A191="","",IFERROR(INDEX(Scherpenzeel!$A$107:$A$206,MATCH($A191,Scherpenzeel!$C$107:$C$206,0)),""))</f>
        <v/>
      </c>
      <c r="H191" s="15">
        <f>IF($A191="",0,IFERROR(INDEX(Scherpenzeel!$I$107:$I$206,MATCH($A191,Scherpenzeel!$C$107:$C$206,0)),0))</f>
        <v>0</v>
      </c>
      <c r="I191" s="24" t="str">
        <f>IF($A191="","",IFERROR(INDEX('4'!$A$107:$A$206,MATCH($A191,'4'!$C$107:$C$206,0)),""))</f>
        <v/>
      </c>
      <c r="J191" s="15">
        <f>IF($A191="",0,IFERROR(INDEX('4'!$I$107:$I$206,MATCH($A191,'4'!$C$107:$C$206,0)),0))</f>
        <v>0</v>
      </c>
      <c r="K191" s="24" t="str">
        <f>IF($A191="","",IFERROR(INDEX('5'!$A$107:$A$206,MATCH($A191,'5'!$C$107:$C$206,0)),""))</f>
        <v/>
      </c>
      <c r="L191" s="15">
        <f>IF($A191="",0,IFERROR(INDEX('5'!$I$107:$I$206,MATCH($A191,'5'!$C$107:$C$206,0)),0))</f>
        <v>0</v>
      </c>
      <c r="M191" s="25" t="str">
        <f>IF($A191="","",D191+F191+H191+J191+L191)</f>
        <v/>
      </c>
      <c r="N191" s="26" t="str">
        <f>IF(OR($A191="",M191="",M191=0),"",RANK(M191,$M$4:$M$203,0))</f>
        <v/>
      </c>
      <c r="AA191">
        <f>Scherpenzeel!C197</f>
        <v>0</v>
      </c>
      <c r="AB191">
        <f>IF(AA191="",0,IF(COUNTIF($AA$1:AA191,AA191)=1,1,0))</f>
        <v>0</v>
      </c>
      <c r="AC191" t="str">
        <f>IF(AB191=1,COUNTIF($AB$1:AB191,1),"")</f>
        <v/>
      </c>
    </row>
    <row r="192" spans="1:29" x14ac:dyDescent="0.25">
      <c r="A192" s="13" t="str">
        <f>IFERROR(INDEX($AA$1:$AA$400,MATCH(189,$AC$1:$AC$400,0)),"")</f>
        <v/>
      </c>
      <c r="B192" s="13" t="str">
        <f>IF($A192="","",IF(IFERROR(INDEX(Barneveld!$E$40:$E$139,MATCH($A192,Barneveld!$C$40:$C$139,0)),"")&lt;&gt;"",IFERROR(INDEX(Barneveld!$E$40:$E$139,MATCH($A192,Barneveld!$C$40:$C$139,0)),""),IF(IFERROR(INDEX(Scherpenzeel!$F$107:$F$206,MATCH($A192,Scherpenzeel!$C$107:$C$206,0)),"")&lt;&gt;"",IFERROR(INDEX(Scherpenzeel!$F$107:$F$206,MATCH($A192,Scherpenzeel!$C$107:$C$206,0)),""),IF(IFERROR(INDEX('4'!$F$107:$F$206,MATCH($A192,'4'!$C$107:$C$206,0)),"")&lt;&gt;"",IFERROR(INDEX('4'!$F$107:$F$206,MATCH($A192,'4'!$C$107:$C$206,0)),""),IFERROR(INDEX('5'!$F$107:$F$206,MATCH($A192,'5'!$C$107:$C$206,0)),"")))))</f>
        <v/>
      </c>
      <c r="C192" s="24" t="str">
        <f>IF($A192="","",IFERROR(INDEX(Barneveld!$A$40:$A$139,MATCH($A192,Barneveld!$C$40:$C$139,0)),""))</f>
        <v/>
      </c>
      <c r="D192" s="15">
        <f>IF($A192="",0,IFERROR(INDEX(Barneveld!$H$40:$H$139,MATCH($A192,Barneveld!$C$40:$C$139,0)),0))</f>
        <v>0</v>
      </c>
      <c r="E192" s="24" t="str">
        <f>""</f>
        <v/>
      </c>
      <c r="F192" s="15">
        <f>0</f>
        <v>0</v>
      </c>
      <c r="G192" s="24" t="str">
        <f>IF($A192="","",IFERROR(INDEX(Scherpenzeel!$A$107:$A$206,MATCH($A192,Scherpenzeel!$C$107:$C$206,0)),""))</f>
        <v/>
      </c>
      <c r="H192" s="15">
        <f>IF($A192="",0,IFERROR(INDEX(Scherpenzeel!$I$107:$I$206,MATCH($A192,Scherpenzeel!$C$107:$C$206,0)),0))</f>
        <v>0</v>
      </c>
      <c r="I192" s="24" t="str">
        <f>IF($A192="","",IFERROR(INDEX('4'!$A$107:$A$206,MATCH($A192,'4'!$C$107:$C$206,0)),""))</f>
        <v/>
      </c>
      <c r="J192" s="15">
        <f>IF($A192="",0,IFERROR(INDEX('4'!$I$107:$I$206,MATCH($A192,'4'!$C$107:$C$206,0)),0))</f>
        <v>0</v>
      </c>
      <c r="K192" s="24" t="str">
        <f>IF($A192="","",IFERROR(INDEX('5'!$A$107:$A$206,MATCH($A192,'5'!$C$107:$C$206,0)),""))</f>
        <v/>
      </c>
      <c r="L192" s="15">
        <f>IF($A192="",0,IFERROR(INDEX('5'!$I$107:$I$206,MATCH($A192,'5'!$C$107:$C$206,0)),0))</f>
        <v>0</v>
      </c>
      <c r="M192" s="25" t="str">
        <f>IF($A192="","",D192+F192+H192+J192+L192)</f>
        <v/>
      </c>
      <c r="N192" s="26" t="str">
        <f>IF(OR($A192="",M192="",M192=0),"",RANK(M192,$M$4:$M$203,0))</f>
        <v/>
      </c>
      <c r="AA192">
        <f>Scherpenzeel!C198</f>
        <v>0</v>
      </c>
      <c r="AB192">
        <f>IF(AA192="",0,IF(COUNTIF($AA$1:AA192,AA192)=1,1,0))</f>
        <v>0</v>
      </c>
      <c r="AC192" t="str">
        <f>IF(AB192=1,COUNTIF($AB$1:AB192,1),"")</f>
        <v/>
      </c>
    </row>
    <row r="193" spans="1:29" x14ac:dyDescent="0.25">
      <c r="A193" s="13" t="str">
        <f>IFERROR(INDEX($AA$1:$AA$400,MATCH(190,$AC$1:$AC$400,0)),"")</f>
        <v/>
      </c>
      <c r="B193" s="13" t="str">
        <f>IF($A193="","",IF(IFERROR(INDEX(Barneveld!$E$40:$E$139,MATCH($A193,Barneveld!$C$40:$C$139,0)),"")&lt;&gt;"",IFERROR(INDEX(Barneveld!$E$40:$E$139,MATCH($A193,Barneveld!$C$40:$C$139,0)),""),IF(IFERROR(INDEX(Scherpenzeel!$F$107:$F$206,MATCH($A193,Scherpenzeel!$C$107:$C$206,0)),"")&lt;&gt;"",IFERROR(INDEX(Scherpenzeel!$F$107:$F$206,MATCH($A193,Scherpenzeel!$C$107:$C$206,0)),""),IF(IFERROR(INDEX('4'!$F$107:$F$206,MATCH($A193,'4'!$C$107:$C$206,0)),"")&lt;&gt;"",IFERROR(INDEX('4'!$F$107:$F$206,MATCH($A193,'4'!$C$107:$C$206,0)),""),IFERROR(INDEX('5'!$F$107:$F$206,MATCH($A193,'5'!$C$107:$C$206,0)),"")))))</f>
        <v/>
      </c>
      <c r="C193" s="24" t="str">
        <f>IF($A193="","",IFERROR(INDEX(Barneveld!$A$40:$A$139,MATCH($A193,Barneveld!$C$40:$C$139,0)),""))</f>
        <v/>
      </c>
      <c r="D193" s="15">
        <f>IF($A193="",0,IFERROR(INDEX(Barneveld!$H$40:$H$139,MATCH($A193,Barneveld!$C$40:$C$139,0)),0))</f>
        <v>0</v>
      </c>
      <c r="E193" s="24" t="str">
        <f>""</f>
        <v/>
      </c>
      <c r="F193" s="15">
        <f>0</f>
        <v>0</v>
      </c>
      <c r="G193" s="24" t="str">
        <f>IF($A193="","",IFERROR(INDEX(Scherpenzeel!$A$107:$A$206,MATCH($A193,Scherpenzeel!$C$107:$C$206,0)),""))</f>
        <v/>
      </c>
      <c r="H193" s="15">
        <f>IF($A193="",0,IFERROR(INDEX(Scherpenzeel!$I$107:$I$206,MATCH($A193,Scherpenzeel!$C$107:$C$206,0)),0))</f>
        <v>0</v>
      </c>
      <c r="I193" s="24" t="str">
        <f>IF($A193="","",IFERROR(INDEX('4'!$A$107:$A$206,MATCH($A193,'4'!$C$107:$C$206,0)),""))</f>
        <v/>
      </c>
      <c r="J193" s="15">
        <f>IF($A193="",0,IFERROR(INDEX('4'!$I$107:$I$206,MATCH($A193,'4'!$C$107:$C$206,0)),0))</f>
        <v>0</v>
      </c>
      <c r="K193" s="24" t="str">
        <f>IF($A193="","",IFERROR(INDEX('5'!$A$107:$A$206,MATCH($A193,'5'!$C$107:$C$206,0)),""))</f>
        <v/>
      </c>
      <c r="L193" s="15">
        <f>IF($A193="",0,IFERROR(INDEX('5'!$I$107:$I$206,MATCH($A193,'5'!$C$107:$C$206,0)),0))</f>
        <v>0</v>
      </c>
      <c r="M193" s="25" t="str">
        <f>IF($A193="","",D193+F193+H193+J193+L193)</f>
        <v/>
      </c>
      <c r="N193" s="26" t="str">
        <f>IF(OR($A193="",M193="",M193=0),"",RANK(M193,$M$4:$M$203,0))</f>
        <v/>
      </c>
      <c r="AA193">
        <f>Scherpenzeel!C199</f>
        <v>0</v>
      </c>
      <c r="AB193">
        <f>IF(AA193="",0,IF(COUNTIF($AA$1:AA193,AA193)=1,1,0))</f>
        <v>0</v>
      </c>
      <c r="AC193" t="str">
        <f>IF(AB193=1,COUNTIF($AB$1:AB193,1),"")</f>
        <v/>
      </c>
    </row>
    <row r="194" spans="1:29" x14ac:dyDescent="0.25">
      <c r="A194" s="13" t="str">
        <f>IFERROR(INDEX($AA$1:$AA$400,MATCH(191,$AC$1:$AC$400,0)),"")</f>
        <v/>
      </c>
      <c r="B194" s="13" t="str">
        <f>IF($A194="","",IF(IFERROR(INDEX(Barneveld!$E$40:$E$139,MATCH($A194,Barneveld!$C$40:$C$139,0)),"")&lt;&gt;"",IFERROR(INDEX(Barneveld!$E$40:$E$139,MATCH($A194,Barneveld!$C$40:$C$139,0)),""),IF(IFERROR(INDEX(Scherpenzeel!$F$107:$F$206,MATCH($A194,Scherpenzeel!$C$107:$C$206,0)),"")&lt;&gt;"",IFERROR(INDEX(Scherpenzeel!$F$107:$F$206,MATCH($A194,Scherpenzeel!$C$107:$C$206,0)),""),IF(IFERROR(INDEX('4'!$F$107:$F$206,MATCH($A194,'4'!$C$107:$C$206,0)),"")&lt;&gt;"",IFERROR(INDEX('4'!$F$107:$F$206,MATCH($A194,'4'!$C$107:$C$206,0)),""),IFERROR(INDEX('5'!$F$107:$F$206,MATCH($A194,'5'!$C$107:$C$206,0)),"")))))</f>
        <v/>
      </c>
      <c r="C194" s="24" t="str">
        <f>IF($A194="","",IFERROR(INDEX(Barneveld!$A$40:$A$139,MATCH($A194,Barneveld!$C$40:$C$139,0)),""))</f>
        <v/>
      </c>
      <c r="D194" s="15">
        <f>IF($A194="",0,IFERROR(INDEX(Barneveld!$H$40:$H$139,MATCH($A194,Barneveld!$C$40:$C$139,0)),0))</f>
        <v>0</v>
      </c>
      <c r="E194" s="24" t="str">
        <f>""</f>
        <v/>
      </c>
      <c r="F194" s="15">
        <f>0</f>
        <v>0</v>
      </c>
      <c r="G194" s="24" t="str">
        <f>IF($A194="","",IFERROR(INDEX(Scherpenzeel!$A$107:$A$206,MATCH($A194,Scherpenzeel!$C$107:$C$206,0)),""))</f>
        <v/>
      </c>
      <c r="H194" s="15">
        <f>IF($A194="",0,IFERROR(INDEX(Scherpenzeel!$I$107:$I$206,MATCH($A194,Scherpenzeel!$C$107:$C$206,0)),0))</f>
        <v>0</v>
      </c>
      <c r="I194" s="24" t="str">
        <f>IF($A194="","",IFERROR(INDEX('4'!$A$107:$A$206,MATCH($A194,'4'!$C$107:$C$206,0)),""))</f>
        <v/>
      </c>
      <c r="J194" s="15">
        <f>IF($A194="",0,IFERROR(INDEX('4'!$I$107:$I$206,MATCH($A194,'4'!$C$107:$C$206,0)),0))</f>
        <v>0</v>
      </c>
      <c r="K194" s="24" t="str">
        <f>IF($A194="","",IFERROR(INDEX('5'!$A$107:$A$206,MATCH($A194,'5'!$C$107:$C$206,0)),""))</f>
        <v/>
      </c>
      <c r="L194" s="15">
        <f>IF($A194="",0,IFERROR(INDEX('5'!$I$107:$I$206,MATCH($A194,'5'!$C$107:$C$206,0)),0))</f>
        <v>0</v>
      </c>
      <c r="M194" s="25" t="str">
        <f>IF($A194="","",D194+F194+H194+J194+L194)</f>
        <v/>
      </c>
      <c r="N194" s="26" t="str">
        <f>IF(OR($A194="",M194="",M194=0),"",RANK(M194,$M$4:$M$203,0))</f>
        <v/>
      </c>
      <c r="AA194">
        <f>Scherpenzeel!C200</f>
        <v>0</v>
      </c>
      <c r="AB194">
        <f>IF(AA194="",0,IF(COUNTIF($AA$1:AA194,AA194)=1,1,0))</f>
        <v>0</v>
      </c>
      <c r="AC194" t="str">
        <f>IF(AB194=1,COUNTIF($AB$1:AB194,1),"")</f>
        <v/>
      </c>
    </row>
    <row r="195" spans="1:29" x14ac:dyDescent="0.25">
      <c r="A195" s="13" t="str">
        <f>IFERROR(INDEX($AA$1:$AA$400,MATCH(192,$AC$1:$AC$400,0)),"")</f>
        <v/>
      </c>
      <c r="B195" s="13" t="str">
        <f>IF($A195="","",IF(IFERROR(INDEX(Barneveld!$E$40:$E$139,MATCH($A195,Barneveld!$C$40:$C$139,0)),"")&lt;&gt;"",IFERROR(INDEX(Barneveld!$E$40:$E$139,MATCH($A195,Barneveld!$C$40:$C$139,0)),""),IF(IFERROR(INDEX(Scherpenzeel!$F$107:$F$206,MATCH($A195,Scherpenzeel!$C$107:$C$206,0)),"")&lt;&gt;"",IFERROR(INDEX(Scherpenzeel!$F$107:$F$206,MATCH($A195,Scherpenzeel!$C$107:$C$206,0)),""),IF(IFERROR(INDEX('4'!$F$107:$F$206,MATCH($A195,'4'!$C$107:$C$206,0)),"")&lt;&gt;"",IFERROR(INDEX('4'!$F$107:$F$206,MATCH($A195,'4'!$C$107:$C$206,0)),""),IFERROR(INDEX('5'!$F$107:$F$206,MATCH($A195,'5'!$C$107:$C$206,0)),"")))))</f>
        <v/>
      </c>
      <c r="C195" s="24" t="str">
        <f>IF($A195="","",IFERROR(INDEX(Barneveld!$A$40:$A$139,MATCH($A195,Barneveld!$C$40:$C$139,0)),""))</f>
        <v/>
      </c>
      <c r="D195" s="15">
        <f>IF($A195="",0,IFERROR(INDEX(Barneveld!$H$40:$H$139,MATCH($A195,Barneveld!$C$40:$C$139,0)),0))</f>
        <v>0</v>
      </c>
      <c r="E195" s="24" t="str">
        <f>""</f>
        <v/>
      </c>
      <c r="F195" s="15">
        <f>0</f>
        <v>0</v>
      </c>
      <c r="G195" s="24" t="str">
        <f>IF($A195="","",IFERROR(INDEX(Scherpenzeel!$A$107:$A$206,MATCH($A195,Scherpenzeel!$C$107:$C$206,0)),""))</f>
        <v/>
      </c>
      <c r="H195" s="15">
        <f>IF($A195="",0,IFERROR(INDEX(Scherpenzeel!$I$107:$I$206,MATCH($A195,Scherpenzeel!$C$107:$C$206,0)),0))</f>
        <v>0</v>
      </c>
      <c r="I195" s="24" t="str">
        <f>IF($A195="","",IFERROR(INDEX('4'!$A$107:$A$206,MATCH($A195,'4'!$C$107:$C$206,0)),""))</f>
        <v/>
      </c>
      <c r="J195" s="15">
        <f>IF($A195="",0,IFERROR(INDEX('4'!$I$107:$I$206,MATCH($A195,'4'!$C$107:$C$206,0)),0))</f>
        <v>0</v>
      </c>
      <c r="K195" s="24" t="str">
        <f>IF($A195="","",IFERROR(INDEX('5'!$A$107:$A$206,MATCH($A195,'5'!$C$107:$C$206,0)),""))</f>
        <v/>
      </c>
      <c r="L195" s="15">
        <f>IF($A195="",0,IFERROR(INDEX('5'!$I$107:$I$206,MATCH($A195,'5'!$C$107:$C$206,0)),0))</f>
        <v>0</v>
      </c>
      <c r="M195" s="25" t="str">
        <f>IF($A195="","",D195+F195+H195+J195+L195)</f>
        <v/>
      </c>
      <c r="N195" s="26" t="str">
        <f>IF(OR($A195="",M195="",M195=0),"",RANK(M195,$M$4:$M$203,0))</f>
        <v/>
      </c>
      <c r="AA195">
        <f>Scherpenzeel!C201</f>
        <v>0</v>
      </c>
      <c r="AB195">
        <f>IF(AA195="",0,IF(COUNTIF($AA$1:AA195,AA195)=1,1,0))</f>
        <v>0</v>
      </c>
      <c r="AC195" t="str">
        <f>IF(AB195=1,COUNTIF($AB$1:AB195,1),"")</f>
        <v/>
      </c>
    </row>
    <row r="196" spans="1:29" x14ac:dyDescent="0.25">
      <c r="A196" s="13" t="str">
        <f>IFERROR(INDEX($AA$1:$AA$400,MATCH(193,$AC$1:$AC$400,0)),"")</f>
        <v/>
      </c>
      <c r="B196" s="13" t="str">
        <f>IF($A196="","",IF(IFERROR(INDEX(Barneveld!$E$40:$E$139,MATCH($A196,Barneveld!$C$40:$C$139,0)),"")&lt;&gt;"",IFERROR(INDEX(Barneveld!$E$40:$E$139,MATCH($A196,Barneveld!$C$40:$C$139,0)),""),IF(IFERROR(INDEX(Scherpenzeel!$F$107:$F$206,MATCH($A196,Scherpenzeel!$C$107:$C$206,0)),"")&lt;&gt;"",IFERROR(INDEX(Scherpenzeel!$F$107:$F$206,MATCH($A196,Scherpenzeel!$C$107:$C$206,0)),""),IF(IFERROR(INDEX('4'!$F$107:$F$206,MATCH($A196,'4'!$C$107:$C$206,0)),"")&lt;&gt;"",IFERROR(INDEX('4'!$F$107:$F$206,MATCH($A196,'4'!$C$107:$C$206,0)),""),IFERROR(INDEX('5'!$F$107:$F$206,MATCH($A196,'5'!$C$107:$C$206,0)),"")))))</f>
        <v/>
      </c>
      <c r="C196" s="24" t="str">
        <f>IF($A196="","",IFERROR(INDEX(Barneveld!$A$40:$A$139,MATCH($A196,Barneveld!$C$40:$C$139,0)),""))</f>
        <v/>
      </c>
      <c r="D196" s="15">
        <f>IF($A196="",0,IFERROR(INDEX(Barneveld!$H$40:$H$139,MATCH($A196,Barneveld!$C$40:$C$139,0)),0))</f>
        <v>0</v>
      </c>
      <c r="E196" s="24" t="str">
        <f>""</f>
        <v/>
      </c>
      <c r="F196" s="15">
        <f>0</f>
        <v>0</v>
      </c>
      <c r="G196" s="24" t="str">
        <f>IF($A196="","",IFERROR(INDEX(Scherpenzeel!$A$107:$A$206,MATCH($A196,Scherpenzeel!$C$107:$C$206,0)),""))</f>
        <v/>
      </c>
      <c r="H196" s="15">
        <f>IF($A196="",0,IFERROR(INDEX(Scherpenzeel!$I$107:$I$206,MATCH($A196,Scherpenzeel!$C$107:$C$206,0)),0))</f>
        <v>0</v>
      </c>
      <c r="I196" s="24" t="str">
        <f>IF($A196="","",IFERROR(INDEX('4'!$A$107:$A$206,MATCH($A196,'4'!$C$107:$C$206,0)),""))</f>
        <v/>
      </c>
      <c r="J196" s="15">
        <f>IF($A196="",0,IFERROR(INDEX('4'!$I$107:$I$206,MATCH($A196,'4'!$C$107:$C$206,0)),0))</f>
        <v>0</v>
      </c>
      <c r="K196" s="24" t="str">
        <f>IF($A196="","",IFERROR(INDEX('5'!$A$107:$A$206,MATCH($A196,'5'!$C$107:$C$206,0)),""))</f>
        <v/>
      </c>
      <c r="L196" s="15">
        <f>IF($A196="",0,IFERROR(INDEX('5'!$I$107:$I$206,MATCH($A196,'5'!$C$107:$C$206,0)),0))</f>
        <v>0</v>
      </c>
      <c r="M196" s="25" t="str">
        <f>IF($A196="","",D196+F196+H196+J196+L196)</f>
        <v/>
      </c>
      <c r="N196" s="26" t="str">
        <f>IF(OR($A196="",M196="",M196=0),"",RANK(M196,$M$4:$M$203,0))</f>
        <v/>
      </c>
      <c r="AA196">
        <f>Scherpenzeel!C202</f>
        <v>0</v>
      </c>
      <c r="AB196">
        <f>IF(AA196="",0,IF(COUNTIF($AA$1:AA196,AA196)=1,1,0))</f>
        <v>0</v>
      </c>
      <c r="AC196" t="str">
        <f>IF(AB196=1,COUNTIF($AB$1:AB196,1),"")</f>
        <v/>
      </c>
    </row>
    <row r="197" spans="1:29" x14ac:dyDescent="0.25">
      <c r="A197" s="13" t="str">
        <f>IFERROR(INDEX($AA$1:$AA$400,MATCH(194,$AC$1:$AC$400,0)),"")</f>
        <v/>
      </c>
      <c r="B197" s="13" t="str">
        <f>IF($A197="","",IF(IFERROR(INDEX(Barneveld!$E$40:$E$139,MATCH($A197,Barneveld!$C$40:$C$139,0)),"")&lt;&gt;"",IFERROR(INDEX(Barneveld!$E$40:$E$139,MATCH($A197,Barneveld!$C$40:$C$139,0)),""),IF(IFERROR(INDEX(Scherpenzeel!$F$107:$F$206,MATCH($A197,Scherpenzeel!$C$107:$C$206,0)),"")&lt;&gt;"",IFERROR(INDEX(Scherpenzeel!$F$107:$F$206,MATCH($A197,Scherpenzeel!$C$107:$C$206,0)),""),IF(IFERROR(INDEX('4'!$F$107:$F$206,MATCH($A197,'4'!$C$107:$C$206,0)),"")&lt;&gt;"",IFERROR(INDEX('4'!$F$107:$F$206,MATCH($A197,'4'!$C$107:$C$206,0)),""),IFERROR(INDEX('5'!$F$107:$F$206,MATCH($A197,'5'!$C$107:$C$206,0)),"")))))</f>
        <v/>
      </c>
      <c r="C197" s="24" t="str">
        <f>IF($A197="","",IFERROR(INDEX(Barneveld!$A$40:$A$139,MATCH($A197,Barneveld!$C$40:$C$139,0)),""))</f>
        <v/>
      </c>
      <c r="D197" s="15">
        <f>IF($A197="",0,IFERROR(INDEX(Barneveld!$H$40:$H$139,MATCH($A197,Barneveld!$C$40:$C$139,0)),0))</f>
        <v>0</v>
      </c>
      <c r="E197" s="24" t="str">
        <f>""</f>
        <v/>
      </c>
      <c r="F197" s="15">
        <f>0</f>
        <v>0</v>
      </c>
      <c r="G197" s="24" t="str">
        <f>IF($A197="","",IFERROR(INDEX(Scherpenzeel!$A$107:$A$206,MATCH($A197,Scherpenzeel!$C$107:$C$206,0)),""))</f>
        <v/>
      </c>
      <c r="H197" s="15">
        <f>IF($A197="",0,IFERROR(INDEX(Scherpenzeel!$I$107:$I$206,MATCH($A197,Scherpenzeel!$C$107:$C$206,0)),0))</f>
        <v>0</v>
      </c>
      <c r="I197" s="24" t="str">
        <f>IF($A197="","",IFERROR(INDEX('4'!$A$107:$A$206,MATCH($A197,'4'!$C$107:$C$206,0)),""))</f>
        <v/>
      </c>
      <c r="J197" s="15">
        <f>IF($A197="",0,IFERROR(INDEX('4'!$I$107:$I$206,MATCH($A197,'4'!$C$107:$C$206,0)),0))</f>
        <v>0</v>
      </c>
      <c r="K197" s="24" t="str">
        <f>IF($A197="","",IFERROR(INDEX('5'!$A$107:$A$206,MATCH($A197,'5'!$C$107:$C$206,0)),""))</f>
        <v/>
      </c>
      <c r="L197" s="15">
        <f>IF($A197="",0,IFERROR(INDEX('5'!$I$107:$I$206,MATCH($A197,'5'!$C$107:$C$206,0)),0))</f>
        <v>0</v>
      </c>
      <c r="M197" s="25" t="str">
        <f>IF($A197="","",D197+F197+H197+J197+L197)</f>
        <v/>
      </c>
      <c r="N197" s="26" t="str">
        <f>IF(OR($A197="",M197="",M197=0),"",RANK(M197,$M$4:$M$203,0))</f>
        <v/>
      </c>
      <c r="AA197">
        <f>Scherpenzeel!C203</f>
        <v>0</v>
      </c>
      <c r="AB197">
        <f>IF(AA197="",0,IF(COUNTIF($AA$1:AA197,AA197)=1,1,0))</f>
        <v>0</v>
      </c>
      <c r="AC197" t="str">
        <f>IF(AB197=1,COUNTIF($AB$1:AB197,1),"")</f>
        <v/>
      </c>
    </row>
    <row r="198" spans="1:29" x14ac:dyDescent="0.25">
      <c r="A198" s="13" t="str">
        <f>IFERROR(INDEX($AA$1:$AA$400,MATCH(195,$AC$1:$AC$400,0)),"")</f>
        <v/>
      </c>
      <c r="B198" s="13" t="str">
        <f>IF($A198="","",IF(IFERROR(INDEX(Barneveld!$E$40:$E$139,MATCH($A198,Barneveld!$C$40:$C$139,0)),"")&lt;&gt;"",IFERROR(INDEX(Barneveld!$E$40:$E$139,MATCH($A198,Barneveld!$C$40:$C$139,0)),""),IF(IFERROR(INDEX(Scherpenzeel!$F$107:$F$206,MATCH($A198,Scherpenzeel!$C$107:$C$206,0)),"")&lt;&gt;"",IFERROR(INDEX(Scherpenzeel!$F$107:$F$206,MATCH($A198,Scherpenzeel!$C$107:$C$206,0)),""),IF(IFERROR(INDEX('4'!$F$107:$F$206,MATCH($A198,'4'!$C$107:$C$206,0)),"")&lt;&gt;"",IFERROR(INDEX('4'!$F$107:$F$206,MATCH($A198,'4'!$C$107:$C$206,0)),""),IFERROR(INDEX('5'!$F$107:$F$206,MATCH($A198,'5'!$C$107:$C$206,0)),"")))))</f>
        <v/>
      </c>
      <c r="C198" s="24" t="str">
        <f>IF($A198="","",IFERROR(INDEX(Barneveld!$A$40:$A$139,MATCH($A198,Barneveld!$C$40:$C$139,0)),""))</f>
        <v/>
      </c>
      <c r="D198" s="15">
        <f>IF($A198="",0,IFERROR(INDEX(Barneveld!$H$40:$H$139,MATCH($A198,Barneveld!$C$40:$C$139,0)),0))</f>
        <v>0</v>
      </c>
      <c r="E198" s="24" t="str">
        <f>""</f>
        <v/>
      </c>
      <c r="F198" s="15">
        <f>0</f>
        <v>0</v>
      </c>
      <c r="G198" s="24" t="str">
        <f>IF($A198="","",IFERROR(INDEX(Scherpenzeel!$A$107:$A$206,MATCH($A198,Scherpenzeel!$C$107:$C$206,0)),""))</f>
        <v/>
      </c>
      <c r="H198" s="15">
        <f>IF($A198="",0,IFERROR(INDEX(Scherpenzeel!$I$107:$I$206,MATCH($A198,Scherpenzeel!$C$107:$C$206,0)),0))</f>
        <v>0</v>
      </c>
      <c r="I198" s="24" t="str">
        <f>IF($A198="","",IFERROR(INDEX('4'!$A$107:$A$206,MATCH($A198,'4'!$C$107:$C$206,0)),""))</f>
        <v/>
      </c>
      <c r="J198" s="15">
        <f>IF($A198="",0,IFERROR(INDEX('4'!$I$107:$I$206,MATCH($A198,'4'!$C$107:$C$206,0)),0))</f>
        <v>0</v>
      </c>
      <c r="K198" s="24" t="str">
        <f>IF($A198="","",IFERROR(INDEX('5'!$A$107:$A$206,MATCH($A198,'5'!$C$107:$C$206,0)),""))</f>
        <v/>
      </c>
      <c r="L198" s="15">
        <f>IF($A198="",0,IFERROR(INDEX('5'!$I$107:$I$206,MATCH($A198,'5'!$C$107:$C$206,0)),0))</f>
        <v>0</v>
      </c>
      <c r="M198" s="25" t="str">
        <f>IF($A198="","",D198+F198+H198+J198+L198)</f>
        <v/>
      </c>
      <c r="N198" s="26" t="str">
        <f>IF(OR($A198="",M198="",M198=0),"",RANK(M198,$M$4:$M$203,0))</f>
        <v/>
      </c>
      <c r="AA198">
        <f>Scherpenzeel!C204</f>
        <v>0</v>
      </c>
      <c r="AB198">
        <f>IF(AA198="",0,IF(COUNTIF($AA$1:AA198,AA198)=1,1,0))</f>
        <v>0</v>
      </c>
      <c r="AC198" t="str">
        <f>IF(AB198=1,COUNTIF($AB$1:AB198,1),"")</f>
        <v/>
      </c>
    </row>
    <row r="199" spans="1:29" x14ac:dyDescent="0.25">
      <c r="A199" s="13" t="str">
        <f>IFERROR(INDEX($AA$1:$AA$400,MATCH(196,$AC$1:$AC$400,0)),"")</f>
        <v/>
      </c>
      <c r="B199" s="13" t="str">
        <f>IF($A199="","",IF(IFERROR(INDEX(Barneveld!$E$40:$E$139,MATCH($A199,Barneveld!$C$40:$C$139,0)),"")&lt;&gt;"",IFERROR(INDEX(Barneveld!$E$40:$E$139,MATCH($A199,Barneveld!$C$40:$C$139,0)),""),IF(IFERROR(INDEX(Scherpenzeel!$F$107:$F$206,MATCH($A199,Scherpenzeel!$C$107:$C$206,0)),"")&lt;&gt;"",IFERROR(INDEX(Scherpenzeel!$F$107:$F$206,MATCH($A199,Scherpenzeel!$C$107:$C$206,0)),""),IF(IFERROR(INDEX('4'!$F$107:$F$206,MATCH($A199,'4'!$C$107:$C$206,0)),"")&lt;&gt;"",IFERROR(INDEX('4'!$F$107:$F$206,MATCH($A199,'4'!$C$107:$C$206,0)),""),IFERROR(INDEX('5'!$F$107:$F$206,MATCH($A199,'5'!$C$107:$C$206,0)),"")))))</f>
        <v/>
      </c>
      <c r="C199" s="24" t="str">
        <f>IF($A199="","",IFERROR(INDEX(Barneveld!$A$40:$A$139,MATCH($A199,Barneveld!$C$40:$C$139,0)),""))</f>
        <v/>
      </c>
      <c r="D199" s="15">
        <f>IF($A199="",0,IFERROR(INDEX(Barneveld!$H$40:$H$139,MATCH($A199,Barneveld!$C$40:$C$139,0)),0))</f>
        <v>0</v>
      </c>
      <c r="E199" s="24" t="str">
        <f>""</f>
        <v/>
      </c>
      <c r="F199" s="15">
        <f>0</f>
        <v>0</v>
      </c>
      <c r="G199" s="24" t="str">
        <f>IF($A199="","",IFERROR(INDEX(Scherpenzeel!$A$107:$A$206,MATCH($A199,Scherpenzeel!$C$107:$C$206,0)),""))</f>
        <v/>
      </c>
      <c r="H199" s="15">
        <f>IF($A199="",0,IFERROR(INDEX(Scherpenzeel!$I$107:$I$206,MATCH($A199,Scherpenzeel!$C$107:$C$206,0)),0))</f>
        <v>0</v>
      </c>
      <c r="I199" s="24" t="str">
        <f>IF($A199="","",IFERROR(INDEX('4'!$A$107:$A$206,MATCH($A199,'4'!$C$107:$C$206,0)),""))</f>
        <v/>
      </c>
      <c r="J199" s="15">
        <f>IF($A199="",0,IFERROR(INDEX('4'!$I$107:$I$206,MATCH($A199,'4'!$C$107:$C$206,0)),0))</f>
        <v>0</v>
      </c>
      <c r="K199" s="24" t="str">
        <f>IF($A199="","",IFERROR(INDEX('5'!$A$107:$A$206,MATCH($A199,'5'!$C$107:$C$206,0)),""))</f>
        <v/>
      </c>
      <c r="L199" s="15">
        <f>IF($A199="",0,IFERROR(INDEX('5'!$I$107:$I$206,MATCH($A199,'5'!$C$107:$C$206,0)),0))</f>
        <v>0</v>
      </c>
      <c r="M199" s="25" t="str">
        <f>IF($A199="","",D199+F199+H199+J199+L199)</f>
        <v/>
      </c>
      <c r="N199" s="26" t="str">
        <f>IF(OR($A199="",M199="",M199=0),"",RANK(M199,$M$4:$M$203,0))</f>
        <v/>
      </c>
      <c r="AA199">
        <f>Scherpenzeel!C205</f>
        <v>0</v>
      </c>
      <c r="AB199">
        <f>IF(AA199="",0,IF(COUNTIF($AA$1:AA199,AA199)=1,1,0))</f>
        <v>0</v>
      </c>
      <c r="AC199" t="str">
        <f>IF(AB199=1,COUNTIF($AB$1:AB199,1),"")</f>
        <v/>
      </c>
    </row>
    <row r="200" spans="1:29" x14ac:dyDescent="0.25">
      <c r="A200" s="13" t="str">
        <f>IFERROR(INDEX($AA$1:$AA$400,MATCH(197,$AC$1:$AC$400,0)),"")</f>
        <v/>
      </c>
      <c r="B200" s="13" t="str">
        <f>IF($A200="","",IF(IFERROR(INDEX(Barneveld!$E$40:$E$139,MATCH($A200,Barneveld!$C$40:$C$139,0)),"")&lt;&gt;"",IFERROR(INDEX(Barneveld!$E$40:$E$139,MATCH($A200,Barneveld!$C$40:$C$139,0)),""),IF(IFERROR(INDEX(Scherpenzeel!$F$107:$F$206,MATCH($A200,Scherpenzeel!$C$107:$C$206,0)),"")&lt;&gt;"",IFERROR(INDEX(Scherpenzeel!$F$107:$F$206,MATCH($A200,Scherpenzeel!$C$107:$C$206,0)),""),IF(IFERROR(INDEX('4'!$F$107:$F$206,MATCH($A200,'4'!$C$107:$C$206,0)),"")&lt;&gt;"",IFERROR(INDEX('4'!$F$107:$F$206,MATCH($A200,'4'!$C$107:$C$206,0)),""),IFERROR(INDEX('5'!$F$107:$F$206,MATCH($A200,'5'!$C$107:$C$206,0)),"")))))</f>
        <v/>
      </c>
      <c r="C200" s="24" t="str">
        <f>IF($A200="","",IFERROR(INDEX(Barneveld!$A$40:$A$139,MATCH($A200,Barneveld!$C$40:$C$139,0)),""))</f>
        <v/>
      </c>
      <c r="D200" s="15">
        <f>IF($A200="",0,IFERROR(INDEX(Barneveld!$H$40:$H$139,MATCH($A200,Barneveld!$C$40:$C$139,0)),0))</f>
        <v>0</v>
      </c>
      <c r="E200" s="24" t="str">
        <f>""</f>
        <v/>
      </c>
      <c r="F200" s="15">
        <f>0</f>
        <v>0</v>
      </c>
      <c r="G200" s="24" t="str">
        <f>IF($A200="","",IFERROR(INDEX(Scherpenzeel!$A$107:$A$206,MATCH($A200,Scherpenzeel!$C$107:$C$206,0)),""))</f>
        <v/>
      </c>
      <c r="H200" s="15">
        <f>IF($A200="",0,IFERROR(INDEX(Scherpenzeel!$I$107:$I$206,MATCH($A200,Scherpenzeel!$C$107:$C$206,0)),0))</f>
        <v>0</v>
      </c>
      <c r="I200" s="24" t="str">
        <f>IF($A200="","",IFERROR(INDEX('4'!$A$107:$A$206,MATCH($A200,'4'!$C$107:$C$206,0)),""))</f>
        <v/>
      </c>
      <c r="J200" s="15">
        <f>IF($A200="",0,IFERROR(INDEX('4'!$I$107:$I$206,MATCH($A200,'4'!$C$107:$C$206,0)),0))</f>
        <v>0</v>
      </c>
      <c r="K200" s="24" t="str">
        <f>IF($A200="","",IFERROR(INDEX('5'!$A$107:$A$206,MATCH($A200,'5'!$C$107:$C$206,0)),""))</f>
        <v/>
      </c>
      <c r="L200" s="15">
        <f>IF($A200="",0,IFERROR(INDEX('5'!$I$107:$I$206,MATCH($A200,'5'!$C$107:$C$206,0)),0))</f>
        <v>0</v>
      </c>
      <c r="M200" s="25" t="str">
        <f>IF($A200="","",D200+F200+H200+J200+L200)</f>
        <v/>
      </c>
      <c r="N200" s="26" t="str">
        <f>IF(OR($A200="",M200="",M200=0),"",RANK(M200,$M$4:$M$203,0))</f>
        <v/>
      </c>
      <c r="AA200">
        <f>Scherpenzeel!C206</f>
        <v>0</v>
      </c>
      <c r="AB200">
        <f>IF(AA200="",0,IF(COUNTIF($AA$1:AA200,AA200)=1,1,0))</f>
        <v>0</v>
      </c>
      <c r="AC200" t="str">
        <f>IF(AB200=1,COUNTIF($AB$1:AB200,1),"")</f>
        <v/>
      </c>
    </row>
    <row r="201" spans="1:29" x14ac:dyDescent="0.25">
      <c r="A201" s="13" t="str">
        <f>IFERROR(INDEX($AA$1:$AA$400,MATCH(198,$AC$1:$AC$400,0)),"")</f>
        <v/>
      </c>
      <c r="B201" s="13" t="str">
        <f>IF($A201="","",IF(IFERROR(INDEX(Barneveld!$E$40:$E$139,MATCH($A201,Barneveld!$C$40:$C$139,0)),"")&lt;&gt;"",IFERROR(INDEX(Barneveld!$E$40:$E$139,MATCH($A201,Barneveld!$C$40:$C$139,0)),""),IF(IFERROR(INDEX(Scherpenzeel!$F$107:$F$206,MATCH($A201,Scherpenzeel!$C$107:$C$206,0)),"")&lt;&gt;"",IFERROR(INDEX(Scherpenzeel!$F$107:$F$206,MATCH($A201,Scherpenzeel!$C$107:$C$206,0)),""),IF(IFERROR(INDEX('4'!$F$107:$F$206,MATCH($A201,'4'!$C$107:$C$206,0)),"")&lt;&gt;"",IFERROR(INDEX('4'!$F$107:$F$206,MATCH($A201,'4'!$C$107:$C$206,0)),""),IFERROR(INDEX('5'!$F$107:$F$206,MATCH($A201,'5'!$C$107:$C$206,0)),"")))))</f>
        <v/>
      </c>
      <c r="C201" s="24" t="str">
        <f>IF($A201="","",IFERROR(INDEX(Barneveld!$A$40:$A$139,MATCH($A201,Barneveld!$C$40:$C$139,0)),""))</f>
        <v/>
      </c>
      <c r="D201" s="15">
        <f>IF($A201="",0,IFERROR(INDEX(Barneveld!$H$40:$H$139,MATCH($A201,Barneveld!$C$40:$C$139,0)),0))</f>
        <v>0</v>
      </c>
      <c r="E201" s="24" t="str">
        <f>""</f>
        <v/>
      </c>
      <c r="F201" s="15">
        <f>0</f>
        <v>0</v>
      </c>
      <c r="G201" s="24" t="str">
        <f>IF($A201="","",IFERROR(INDEX(Scherpenzeel!$A$107:$A$206,MATCH($A201,Scherpenzeel!$C$107:$C$206,0)),""))</f>
        <v/>
      </c>
      <c r="H201" s="15">
        <f>IF($A201="",0,IFERROR(INDEX(Scherpenzeel!$I$107:$I$206,MATCH($A201,Scherpenzeel!$C$107:$C$206,0)),0))</f>
        <v>0</v>
      </c>
      <c r="I201" s="24" t="str">
        <f>IF($A201="","",IFERROR(INDEX('4'!$A$107:$A$206,MATCH($A201,'4'!$C$107:$C$206,0)),""))</f>
        <v/>
      </c>
      <c r="J201" s="15">
        <f>IF($A201="",0,IFERROR(INDEX('4'!$I$107:$I$206,MATCH($A201,'4'!$C$107:$C$206,0)),0))</f>
        <v>0</v>
      </c>
      <c r="K201" s="24" t="str">
        <f>IF($A201="","",IFERROR(INDEX('5'!$A$107:$A$206,MATCH($A201,'5'!$C$107:$C$206,0)),""))</f>
        <v/>
      </c>
      <c r="L201" s="15">
        <f>IF($A201="",0,IFERROR(INDEX('5'!$I$107:$I$206,MATCH($A201,'5'!$C$107:$C$206,0)),0))</f>
        <v>0</v>
      </c>
      <c r="M201" s="25" t="str">
        <f>IF($A201="","",D201+F201+H201+J201+L201)</f>
        <v/>
      </c>
      <c r="N201" s="26" t="str">
        <f>IF(OR($A201="",M201="",M201=0),"",RANK(M201,$M$4:$M$203,0))</f>
        <v/>
      </c>
      <c r="AA201">
        <f>'4'!C107</f>
        <v>0</v>
      </c>
      <c r="AB201">
        <f>IF(AA201="",0,IF(COUNTIF($AA$1:AA201,AA201)=1,1,0))</f>
        <v>0</v>
      </c>
      <c r="AC201" t="str">
        <f>IF(AB201=1,COUNTIF($AB$1:AB201,1),"")</f>
        <v/>
      </c>
    </row>
    <row r="202" spans="1:29" x14ac:dyDescent="0.25">
      <c r="A202" s="13" t="str">
        <f>IFERROR(INDEX($AA$1:$AA$400,MATCH(199,$AC$1:$AC$400,0)),"")</f>
        <v/>
      </c>
      <c r="B202" s="13" t="str">
        <f>IF($A202="","",IF(IFERROR(INDEX(Barneveld!$E$40:$E$139,MATCH($A202,Barneveld!$C$40:$C$139,0)),"")&lt;&gt;"",IFERROR(INDEX(Barneveld!$E$40:$E$139,MATCH($A202,Barneveld!$C$40:$C$139,0)),""),IF(IFERROR(INDEX(Scherpenzeel!$F$107:$F$206,MATCH($A202,Scherpenzeel!$C$107:$C$206,0)),"")&lt;&gt;"",IFERROR(INDEX(Scherpenzeel!$F$107:$F$206,MATCH($A202,Scherpenzeel!$C$107:$C$206,0)),""),IF(IFERROR(INDEX('4'!$F$107:$F$206,MATCH($A202,'4'!$C$107:$C$206,0)),"")&lt;&gt;"",IFERROR(INDEX('4'!$F$107:$F$206,MATCH($A202,'4'!$C$107:$C$206,0)),""),IFERROR(INDEX('5'!$F$107:$F$206,MATCH($A202,'5'!$C$107:$C$206,0)),"")))))</f>
        <v/>
      </c>
      <c r="C202" s="24" t="str">
        <f>IF($A202="","",IFERROR(INDEX(Barneveld!$A$40:$A$139,MATCH($A202,Barneveld!$C$40:$C$139,0)),""))</f>
        <v/>
      </c>
      <c r="D202" s="15">
        <f>IF($A202="",0,IFERROR(INDEX(Barneveld!$H$40:$H$139,MATCH($A202,Barneveld!$C$40:$C$139,0)),0))</f>
        <v>0</v>
      </c>
      <c r="E202" s="24" t="str">
        <f>""</f>
        <v/>
      </c>
      <c r="F202" s="15">
        <f>0</f>
        <v>0</v>
      </c>
      <c r="G202" s="24" t="str">
        <f>IF($A202="","",IFERROR(INDEX(Scherpenzeel!$A$107:$A$206,MATCH($A202,Scherpenzeel!$C$107:$C$206,0)),""))</f>
        <v/>
      </c>
      <c r="H202" s="15">
        <f>IF($A202="",0,IFERROR(INDEX(Scherpenzeel!$I$107:$I$206,MATCH($A202,Scherpenzeel!$C$107:$C$206,0)),0))</f>
        <v>0</v>
      </c>
      <c r="I202" s="24" t="str">
        <f>IF($A202="","",IFERROR(INDEX('4'!$A$107:$A$206,MATCH($A202,'4'!$C$107:$C$206,0)),""))</f>
        <v/>
      </c>
      <c r="J202" s="15">
        <f>IF($A202="",0,IFERROR(INDEX('4'!$I$107:$I$206,MATCH($A202,'4'!$C$107:$C$206,0)),0))</f>
        <v>0</v>
      </c>
      <c r="K202" s="24" t="str">
        <f>IF($A202="","",IFERROR(INDEX('5'!$A$107:$A$206,MATCH($A202,'5'!$C$107:$C$206,0)),""))</f>
        <v/>
      </c>
      <c r="L202" s="15">
        <f>IF($A202="",0,IFERROR(INDEX('5'!$I$107:$I$206,MATCH($A202,'5'!$C$107:$C$206,0)),0))</f>
        <v>0</v>
      </c>
      <c r="M202" s="25" t="str">
        <f>IF($A202="","",D202+F202+H202+J202+L202)</f>
        <v/>
      </c>
      <c r="N202" s="26" t="str">
        <f>IF(OR($A202="",M202="",M202=0),"",RANK(M202,$M$4:$M$203,0))</f>
        <v/>
      </c>
      <c r="AA202">
        <f>'4'!C108</f>
        <v>0</v>
      </c>
      <c r="AB202">
        <f>IF(AA202="",0,IF(COUNTIF($AA$1:AA202,AA202)=1,1,0))</f>
        <v>0</v>
      </c>
      <c r="AC202" t="str">
        <f>IF(AB202=1,COUNTIF($AB$1:AB202,1),"")</f>
        <v/>
      </c>
    </row>
    <row r="203" spans="1:29" x14ac:dyDescent="0.25">
      <c r="A203" s="13" t="str">
        <f>IFERROR(INDEX($AA$1:$AA$400,MATCH(200,$AC$1:$AC$400,0)),"")</f>
        <v/>
      </c>
      <c r="B203" s="13" t="str">
        <f>IF($A203="","",IF(IFERROR(INDEX(Barneveld!$E$40:$E$139,MATCH($A203,Barneveld!$C$40:$C$139,0)),"")&lt;&gt;"",IFERROR(INDEX(Barneveld!$E$40:$E$139,MATCH($A203,Barneveld!$C$40:$C$139,0)),""),IF(IFERROR(INDEX(Scherpenzeel!$F$107:$F$206,MATCH($A203,Scherpenzeel!$C$107:$C$206,0)),"")&lt;&gt;"",IFERROR(INDEX(Scherpenzeel!$F$107:$F$206,MATCH($A203,Scherpenzeel!$C$107:$C$206,0)),""),IF(IFERROR(INDEX('4'!$F$107:$F$206,MATCH($A203,'4'!$C$107:$C$206,0)),"")&lt;&gt;"",IFERROR(INDEX('4'!$F$107:$F$206,MATCH($A203,'4'!$C$107:$C$206,0)),""),IFERROR(INDEX('5'!$F$107:$F$206,MATCH($A203,'5'!$C$107:$C$206,0)),"")))))</f>
        <v/>
      </c>
      <c r="C203" s="24" t="str">
        <f>IF($A203="","",IFERROR(INDEX(Barneveld!$A$40:$A$139,MATCH($A203,Barneveld!$C$40:$C$139,0)),""))</f>
        <v/>
      </c>
      <c r="D203" s="15">
        <f>IF($A203="",0,IFERROR(INDEX(Barneveld!$H$40:$H$139,MATCH($A203,Barneveld!$C$40:$C$139,0)),0))</f>
        <v>0</v>
      </c>
      <c r="E203" s="24" t="str">
        <f>""</f>
        <v/>
      </c>
      <c r="F203" s="15">
        <f>0</f>
        <v>0</v>
      </c>
      <c r="G203" s="24" t="str">
        <f>IF($A203="","",IFERROR(INDEX(Scherpenzeel!$A$107:$A$206,MATCH($A203,Scherpenzeel!$C$107:$C$206,0)),""))</f>
        <v/>
      </c>
      <c r="H203" s="15">
        <f>IF($A203="",0,IFERROR(INDEX(Scherpenzeel!$I$107:$I$206,MATCH($A203,Scherpenzeel!$C$107:$C$206,0)),0))</f>
        <v>0</v>
      </c>
      <c r="I203" s="24" t="str">
        <f>IF($A203="","",IFERROR(INDEX('4'!$A$107:$A$206,MATCH($A203,'4'!$C$107:$C$206,0)),""))</f>
        <v/>
      </c>
      <c r="J203" s="15">
        <f>IF($A203="",0,IFERROR(INDEX('4'!$I$107:$I$206,MATCH($A203,'4'!$C$107:$C$206,0)),0))</f>
        <v>0</v>
      </c>
      <c r="K203" s="24" t="str">
        <f>IF($A203="","",IFERROR(INDEX('5'!$A$107:$A$206,MATCH($A203,'5'!$C$107:$C$206,0)),""))</f>
        <v/>
      </c>
      <c r="L203" s="15">
        <f>IF($A203="",0,IFERROR(INDEX('5'!$I$107:$I$206,MATCH($A203,'5'!$C$107:$C$206,0)),0))</f>
        <v>0</v>
      </c>
      <c r="M203" s="25" t="str">
        <f>IF($A203="","",D203+F203+H203+J203+L203)</f>
        <v/>
      </c>
      <c r="N203" s="26" t="str">
        <f>IF(OR($A203="",M203="",M203=0),"",RANK(M203,$M$4:$M$203,0))</f>
        <v/>
      </c>
      <c r="AA203">
        <f>'4'!C109</f>
        <v>0</v>
      </c>
      <c r="AB203">
        <f>IF(AA203="",0,IF(COUNTIF($AA$1:AA203,AA203)=1,1,0))</f>
        <v>0</v>
      </c>
      <c r="AC203" t="str">
        <f>IF(AB203=1,COUNTIF($AB$1:AB203,1),"")</f>
        <v/>
      </c>
    </row>
    <row r="204" spans="1:29" x14ac:dyDescent="0.25">
      <c r="AA204">
        <f>'4'!C110</f>
        <v>0</v>
      </c>
      <c r="AB204">
        <f>IF(AA204="",0,IF(COUNTIF($AA$1:AA204,AA204)=1,1,0))</f>
        <v>0</v>
      </c>
      <c r="AC204" t="str">
        <f>IF(AB204=1,COUNTIF($AB$1:AB204,1),"")</f>
        <v/>
      </c>
    </row>
    <row r="205" spans="1:29" x14ac:dyDescent="0.25">
      <c r="AA205">
        <f>'4'!C111</f>
        <v>0</v>
      </c>
      <c r="AB205">
        <f>IF(AA205="",0,IF(COUNTIF($AA$1:AA205,AA205)=1,1,0))</f>
        <v>0</v>
      </c>
      <c r="AC205" t="str">
        <f>IF(AB205=1,COUNTIF($AB$1:AB205,1),"")</f>
        <v/>
      </c>
    </row>
    <row r="206" spans="1:29" x14ac:dyDescent="0.25">
      <c r="AA206">
        <f>'4'!C112</f>
        <v>0</v>
      </c>
      <c r="AB206">
        <f>IF(AA206="",0,IF(COUNTIF($AA$1:AA206,AA206)=1,1,0))</f>
        <v>0</v>
      </c>
      <c r="AC206" t="str">
        <f>IF(AB206=1,COUNTIF($AB$1:AB206,1),"")</f>
        <v/>
      </c>
    </row>
    <row r="207" spans="1:29" x14ac:dyDescent="0.25">
      <c r="AA207">
        <f>'4'!C113</f>
        <v>0</v>
      </c>
      <c r="AB207">
        <f>IF(AA207="",0,IF(COUNTIF($AA$1:AA207,AA207)=1,1,0))</f>
        <v>0</v>
      </c>
      <c r="AC207" t="str">
        <f>IF(AB207=1,COUNTIF($AB$1:AB207,1),"")</f>
        <v/>
      </c>
    </row>
    <row r="208" spans="1:29" x14ac:dyDescent="0.25">
      <c r="AA208">
        <f>'4'!C114</f>
        <v>0</v>
      </c>
      <c r="AB208">
        <f>IF(AA208="",0,IF(COUNTIF($AA$1:AA208,AA208)=1,1,0))</f>
        <v>0</v>
      </c>
      <c r="AC208" t="str">
        <f>IF(AB208=1,COUNTIF($AB$1:AB208,1),"")</f>
        <v/>
      </c>
    </row>
    <row r="209" spans="27:29" x14ac:dyDescent="0.25">
      <c r="AA209">
        <f>'4'!C115</f>
        <v>0</v>
      </c>
      <c r="AB209">
        <f>IF(AA209="",0,IF(COUNTIF($AA$1:AA209,AA209)=1,1,0))</f>
        <v>0</v>
      </c>
      <c r="AC209" t="str">
        <f>IF(AB209=1,COUNTIF($AB$1:AB209,1),"")</f>
        <v/>
      </c>
    </row>
    <row r="210" spans="27:29" x14ac:dyDescent="0.25">
      <c r="AA210">
        <f>'4'!C116</f>
        <v>0</v>
      </c>
      <c r="AB210">
        <f>IF(AA210="",0,IF(COUNTIF($AA$1:AA210,AA210)=1,1,0))</f>
        <v>0</v>
      </c>
      <c r="AC210" t="str">
        <f>IF(AB210=1,COUNTIF($AB$1:AB210,1),"")</f>
        <v/>
      </c>
    </row>
    <row r="211" spans="27:29" x14ac:dyDescent="0.25">
      <c r="AA211">
        <f>'4'!C117</f>
        <v>0</v>
      </c>
      <c r="AB211">
        <f>IF(AA211="",0,IF(COUNTIF($AA$1:AA211,AA211)=1,1,0))</f>
        <v>0</v>
      </c>
      <c r="AC211" t="str">
        <f>IF(AB211=1,COUNTIF($AB$1:AB211,1),"")</f>
        <v/>
      </c>
    </row>
    <row r="212" spans="27:29" x14ac:dyDescent="0.25">
      <c r="AA212">
        <f>'4'!C118</f>
        <v>0</v>
      </c>
      <c r="AB212">
        <f>IF(AA212="",0,IF(COUNTIF($AA$1:AA212,AA212)=1,1,0))</f>
        <v>0</v>
      </c>
      <c r="AC212" t="str">
        <f>IF(AB212=1,COUNTIF($AB$1:AB212,1),"")</f>
        <v/>
      </c>
    </row>
    <row r="213" spans="27:29" x14ac:dyDescent="0.25">
      <c r="AA213">
        <f>'4'!C119</f>
        <v>0</v>
      </c>
      <c r="AB213">
        <f>IF(AA213="",0,IF(COUNTIF($AA$1:AA213,AA213)=1,1,0))</f>
        <v>0</v>
      </c>
      <c r="AC213" t="str">
        <f>IF(AB213=1,COUNTIF($AB$1:AB213,1),"")</f>
        <v/>
      </c>
    </row>
    <row r="214" spans="27:29" x14ac:dyDescent="0.25">
      <c r="AA214">
        <f>'4'!C120</f>
        <v>0</v>
      </c>
      <c r="AB214">
        <f>IF(AA214="",0,IF(COUNTIF($AA$1:AA214,AA214)=1,1,0))</f>
        <v>0</v>
      </c>
      <c r="AC214" t="str">
        <f>IF(AB214=1,COUNTIF($AB$1:AB214,1),"")</f>
        <v/>
      </c>
    </row>
    <row r="215" spans="27:29" x14ac:dyDescent="0.25">
      <c r="AA215">
        <f>'4'!C121</f>
        <v>0</v>
      </c>
      <c r="AB215">
        <f>IF(AA215="",0,IF(COUNTIF($AA$1:AA215,AA215)=1,1,0))</f>
        <v>0</v>
      </c>
      <c r="AC215" t="str">
        <f>IF(AB215=1,COUNTIF($AB$1:AB215,1),"")</f>
        <v/>
      </c>
    </row>
    <row r="216" spans="27:29" x14ac:dyDescent="0.25">
      <c r="AA216">
        <f>'4'!C122</f>
        <v>0</v>
      </c>
      <c r="AB216">
        <f>IF(AA216="",0,IF(COUNTIF($AA$1:AA216,AA216)=1,1,0))</f>
        <v>0</v>
      </c>
      <c r="AC216" t="str">
        <f>IF(AB216=1,COUNTIF($AB$1:AB216,1),"")</f>
        <v/>
      </c>
    </row>
    <row r="217" spans="27:29" x14ac:dyDescent="0.25">
      <c r="AA217">
        <f>'4'!C123</f>
        <v>0</v>
      </c>
      <c r="AB217">
        <f>IF(AA217="",0,IF(COUNTIF($AA$1:AA217,AA217)=1,1,0))</f>
        <v>0</v>
      </c>
      <c r="AC217" t="str">
        <f>IF(AB217=1,COUNTIF($AB$1:AB217,1),"")</f>
        <v/>
      </c>
    </row>
    <row r="218" spans="27:29" x14ac:dyDescent="0.25">
      <c r="AA218">
        <f>'4'!C124</f>
        <v>0</v>
      </c>
      <c r="AB218">
        <f>IF(AA218="",0,IF(COUNTIF($AA$1:AA218,AA218)=1,1,0))</f>
        <v>0</v>
      </c>
      <c r="AC218" t="str">
        <f>IF(AB218=1,COUNTIF($AB$1:AB218,1),"")</f>
        <v/>
      </c>
    </row>
    <row r="219" spans="27:29" x14ac:dyDescent="0.25">
      <c r="AA219">
        <f>'4'!C125</f>
        <v>0</v>
      </c>
      <c r="AB219">
        <f>IF(AA219="",0,IF(COUNTIF($AA$1:AA219,AA219)=1,1,0))</f>
        <v>0</v>
      </c>
      <c r="AC219" t="str">
        <f>IF(AB219=1,COUNTIF($AB$1:AB219,1),"")</f>
        <v/>
      </c>
    </row>
    <row r="220" spans="27:29" x14ac:dyDescent="0.25">
      <c r="AA220">
        <f>'4'!C126</f>
        <v>0</v>
      </c>
      <c r="AB220">
        <f>IF(AA220="",0,IF(COUNTIF($AA$1:AA220,AA220)=1,1,0))</f>
        <v>0</v>
      </c>
      <c r="AC220" t="str">
        <f>IF(AB220=1,COUNTIF($AB$1:AB220,1),"")</f>
        <v/>
      </c>
    </row>
    <row r="221" spans="27:29" x14ac:dyDescent="0.25">
      <c r="AA221">
        <f>'4'!C127</f>
        <v>0</v>
      </c>
      <c r="AB221">
        <f>IF(AA221="",0,IF(COUNTIF($AA$1:AA221,AA221)=1,1,0))</f>
        <v>0</v>
      </c>
      <c r="AC221" t="str">
        <f>IF(AB221=1,COUNTIF($AB$1:AB221,1),"")</f>
        <v/>
      </c>
    </row>
    <row r="222" spans="27:29" x14ac:dyDescent="0.25">
      <c r="AA222">
        <f>'4'!C128</f>
        <v>0</v>
      </c>
      <c r="AB222">
        <f>IF(AA222="",0,IF(COUNTIF($AA$1:AA222,AA222)=1,1,0))</f>
        <v>0</v>
      </c>
      <c r="AC222" t="str">
        <f>IF(AB222=1,COUNTIF($AB$1:AB222,1),"")</f>
        <v/>
      </c>
    </row>
    <row r="223" spans="27:29" x14ac:dyDescent="0.25">
      <c r="AA223">
        <f>'4'!C129</f>
        <v>0</v>
      </c>
      <c r="AB223">
        <f>IF(AA223="",0,IF(COUNTIF($AA$1:AA223,AA223)=1,1,0))</f>
        <v>0</v>
      </c>
      <c r="AC223" t="str">
        <f>IF(AB223=1,COUNTIF($AB$1:AB223,1),"")</f>
        <v/>
      </c>
    </row>
    <row r="224" spans="27:29" x14ac:dyDescent="0.25">
      <c r="AA224">
        <f>'4'!C130</f>
        <v>0</v>
      </c>
      <c r="AB224">
        <f>IF(AA224="",0,IF(COUNTIF($AA$1:AA224,AA224)=1,1,0))</f>
        <v>0</v>
      </c>
      <c r="AC224" t="str">
        <f>IF(AB224=1,COUNTIF($AB$1:AB224,1),"")</f>
        <v/>
      </c>
    </row>
    <row r="225" spans="27:29" x14ac:dyDescent="0.25">
      <c r="AA225">
        <f>'4'!C131</f>
        <v>0</v>
      </c>
      <c r="AB225">
        <f>IF(AA225="",0,IF(COUNTIF($AA$1:AA225,AA225)=1,1,0))</f>
        <v>0</v>
      </c>
      <c r="AC225" t="str">
        <f>IF(AB225=1,COUNTIF($AB$1:AB225,1),"")</f>
        <v/>
      </c>
    </row>
    <row r="226" spans="27:29" x14ac:dyDescent="0.25">
      <c r="AA226">
        <f>'4'!C132</f>
        <v>0</v>
      </c>
      <c r="AB226">
        <f>IF(AA226="",0,IF(COUNTIF($AA$1:AA226,AA226)=1,1,0))</f>
        <v>0</v>
      </c>
      <c r="AC226" t="str">
        <f>IF(AB226=1,COUNTIF($AB$1:AB226,1),"")</f>
        <v/>
      </c>
    </row>
    <row r="227" spans="27:29" x14ac:dyDescent="0.25">
      <c r="AA227">
        <f>'4'!C133</f>
        <v>0</v>
      </c>
      <c r="AB227">
        <f>IF(AA227="",0,IF(COUNTIF($AA$1:AA227,AA227)=1,1,0))</f>
        <v>0</v>
      </c>
      <c r="AC227" t="str">
        <f>IF(AB227=1,COUNTIF($AB$1:AB227,1),"")</f>
        <v/>
      </c>
    </row>
    <row r="228" spans="27:29" x14ac:dyDescent="0.25">
      <c r="AA228">
        <f>'4'!C134</f>
        <v>0</v>
      </c>
      <c r="AB228">
        <f>IF(AA228="",0,IF(COUNTIF($AA$1:AA228,AA228)=1,1,0))</f>
        <v>0</v>
      </c>
      <c r="AC228" t="str">
        <f>IF(AB228=1,COUNTIF($AB$1:AB228,1),"")</f>
        <v/>
      </c>
    </row>
    <row r="229" spans="27:29" x14ac:dyDescent="0.25">
      <c r="AA229">
        <f>'4'!C135</f>
        <v>0</v>
      </c>
      <c r="AB229">
        <f>IF(AA229="",0,IF(COUNTIF($AA$1:AA229,AA229)=1,1,0))</f>
        <v>0</v>
      </c>
      <c r="AC229" t="str">
        <f>IF(AB229=1,COUNTIF($AB$1:AB229,1),"")</f>
        <v/>
      </c>
    </row>
    <row r="230" spans="27:29" x14ac:dyDescent="0.25">
      <c r="AA230">
        <f>'4'!C136</f>
        <v>0</v>
      </c>
      <c r="AB230">
        <f>IF(AA230="",0,IF(COUNTIF($AA$1:AA230,AA230)=1,1,0))</f>
        <v>0</v>
      </c>
      <c r="AC230" t="str">
        <f>IF(AB230=1,COUNTIF($AB$1:AB230,1),"")</f>
        <v/>
      </c>
    </row>
    <row r="231" spans="27:29" x14ac:dyDescent="0.25">
      <c r="AA231">
        <f>'4'!C137</f>
        <v>0</v>
      </c>
      <c r="AB231">
        <f>IF(AA231="",0,IF(COUNTIF($AA$1:AA231,AA231)=1,1,0))</f>
        <v>0</v>
      </c>
      <c r="AC231" t="str">
        <f>IF(AB231=1,COUNTIF($AB$1:AB231,1),"")</f>
        <v/>
      </c>
    </row>
    <row r="232" spans="27:29" x14ac:dyDescent="0.25">
      <c r="AA232">
        <f>'4'!C138</f>
        <v>0</v>
      </c>
      <c r="AB232">
        <f>IF(AA232="",0,IF(COUNTIF($AA$1:AA232,AA232)=1,1,0))</f>
        <v>0</v>
      </c>
      <c r="AC232" t="str">
        <f>IF(AB232=1,COUNTIF($AB$1:AB232,1),"")</f>
        <v/>
      </c>
    </row>
    <row r="233" spans="27:29" x14ac:dyDescent="0.25">
      <c r="AA233">
        <f>'4'!C139</f>
        <v>0</v>
      </c>
      <c r="AB233">
        <f>IF(AA233="",0,IF(COUNTIF($AA$1:AA233,AA233)=1,1,0))</f>
        <v>0</v>
      </c>
      <c r="AC233" t="str">
        <f>IF(AB233=1,COUNTIF($AB$1:AB233,1),"")</f>
        <v/>
      </c>
    </row>
    <row r="234" spans="27:29" x14ac:dyDescent="0.25">
      <c r="AA234">
        <f>'4'!C140</f>
        <v>0</v>
      </c>
      <c r="AB234">
        <f>IF(AA234="",0,IF(COUNTIF($AA$1:AA234,AA234)=1,1,0))</f>
        <v>0</v>
      </c>
      <c r="AC234" t="str">
        <f>IF(AB234=1,COUNTIF($AB$1:AB234,1),"")</f>
        <v/>
      </c>
    </row>
    <row r="235" spans="27:29" x14ac:dyDescent="0.25">
      <c r="AA235">
        <f>'4'!C141</f>
        <v>0</v>
      </c>
      <c r="AB235">
        <f>IF(AA235="",0,IF(COUNTIF($AA$1:AA235,AA235)=1,1,0))</f>
        <v>0</v>
      </c>
      <c r="AC235" t="str">
        <f>IF(AB235=1,COUNTIF($AB$1:AB235,1),"")</f>
        <v/>
      </c>
    </row>
    <row r="236" spans="27:29" x14ac:dyDescent="0.25">
      <c r="AA236">
        <f>'4'!C142</f>
        <v>0</v>
      </c>
      <c r="AB236">
        <f>IF(AA236="",0,IF(COUNTIF($AA$1:AA236,AA236)=1,1,0))</f>
        <v>0</v>
      </c>
      <c r="AC236" t="str">
        <f>IF(AB236=1,COUNTIF($AB$1:AB236,1),"")</f>
        <v/>
      </c>
    </row>
    <row r="237" spans="27:29" x14ac:dyDescent="0.25">
      <c r="AA237">
        <f>'4'!C143</f>
        <v>0</v>
      </c>
      <c r="AB237">
        <f>IF(AA237="",0,IF(COUNTIF($AA$1:AA237,AA237)=1,1,0))</f>
        <v>0</v>
      </c>
      <c r="AC237" t="str">
        <f>IF(AB237=1,COUNTIF($AB$1:AB237,1),"")</f>
        <v/>
      </c>
    </row>
    <row r="238" spans="27:29" x14ac:dyDescent="0.25">
      <c r="AA238">
        <f>'4'!C144</f>
        <v>0</v>
      </c>
      <c r="AB238">
        <f>IF(AA238="",0,IF(COUNTIF($AA$1:AA238,AA238)=1,1,0))</f>
        <v>0</v>
      </c>
      <c r="AC238" t="str">
        <f>IF(AB238=1,COUNTIF($AB$1:AB238,1),"")</f>
        <v/>
      </c>
    </row>
    <row r="239" spans="27:29" x14ac:dyDescent="0.25">
      <c r="AA239">
        <f>'4'!C145</f>
        <v>0</v>
      </c>
      <c r="AB239">
        <f>IF(AA239="",0,IF(COUNTIF($AA$1:AA239,AA239)=1,1,0))</f>
        <v>0</v>
      </c>
      <c r="AC239" t="str">
        <f>IF(AB239=1,COUNTIF($AB$1:AB239,1),"")</f>
        <v/>
      </c>
    </row>
    <row r="240" spans="27:29" x14ac:dyDescent="0.25">
      <c r="AA240">
        <f>'4'!C146</f>
        <v>0</v>
      </c>
      <c r="AB240">
        <f>IF(AA240="",0,IF(COUNTIF($AA$1:AA240,AA240)=1,1,0))</f>
        <v>0</v>
      </c>
      <c r="AC240" t="str">
        <f>IF(AB240=1,COUNTIF($AB$1:AB240,1),"")</f>
        <v/>
      </c>
    </row>
    <row r="241" spans="27:29" x14ac:dyDescent="0.25">
      <c r="AA241">
        <f>'4'!C147</f>
        <v>0</v>
      </c>
      <c r="AB241">
        <f>IF(AA241="",0,IF(COUNTIF($AA$1:AA241,AA241)=1,1,0))</f>
        <v>0</v>
      </c>
      <c r="AC241" t="str">
        <f>IF(AB241=1,COUNTIF($AB$1:AB241,1),"")</f>
        <v/>
      </c>
    </row>
    <row r="242" spans="27:29" x14ac:dyDescent="0.25">
      <c r="AA242">
        <f>'4'!C148</f>
        <v>0</v>
      </c>
      <c r="AB242">
        <f>IF(AA242="",0,IF(COUNTIF($AA$1:AA242,AA242)=1,1,0))</f>
        <v>0</v>
      </c>
      <c r="AC242" t="str">
        <f>IF(AB242=1,COUNTIF($AB$1:AB242,1),"")</f>
        <v/>
      </c>
    </row>
    <row r="243" spans="27:29" x14ac:dyDescent="0.25">
      <c r="AA243">
        <f>'4'!C149</f>
        <v>0</v>
      </c>
      <c r="AB243">
        <f>IF(AA243="",0,IF(COUNTIF($AA$1:AA243,AA243)=1,1,0))</f>
        <v>0</v>
      </c>
      <c r="AC243" t="str">
        <f>IF(AB243=1,COUNTIF($AB$1:AB243,1),"")</f>
        <v/>
      </c>
    </row>
    <row r="244" spans="27:29" x14ac:dyDescent="0.25">
      <c r="AA244">
        <f>'4'!C150</f>
        <v>0</v>
      </c>
      <c r="AB244">
        <f>IF(AA244="",0,IF(COUNTIF($AA$1:AA244,AA244)=1,1,0))</f>
        <v>0</v>
      </c>
      <c r="AC244" t="str">
        <f>IF(AB244=1,COUNTIF($AB$1:AB244,1),"")</f>
        <v/>
      </c>
    </row>
    <row r="245" spans="27:29" x14ac:dyDescent="0.25">
      <c r="AA245">
        <f>'4'!C151</f>
        <v>0</v>
      </c>
      <c r="AB245">
        <f>IF(AA245="",0,IF(COUNTIF($AA$1:AA245,AA245)=1,1,0))</f>
        <v>0</v>
      </c>
      <c r="AC245" t="str">
        <f>IF(AB245=1,COUNTIF($AB$1:AB245,1),"")</f>
        <v/>
      </c>
    </row>
    <row r="246" spans="27:29" x14ac:dyDescent="0.25">
      <c r="AA246">
        <f>'4'!C152</f>
        <v>0</v>
      </c>
      <c r="AB246">
        <f>IF(AA246="",0,IF(COUNTIF($AA$1:AA246,AA246)=1,1,0))</f>
        <v>0</v>
      </c>
      <c r="AC246" t="str">
        <f>IF(AB246=1,COUNTIF($AB$1:AB246,1),"")</f>
        <v/>
      </c>
    </row>
    <row r="247" spans="27:29" x14ac:dyDescent="0.25">
      <c r="AA247">
        <f>'4'!C153</f>
        <v>0</v>
      </c>
      <c r="AB247">
        <f>IF(AA247="",0,IF(COUNTIF($AA$1:AA247,AA247)=1,1,0))</f>
        <v>0</v>
      </c>
      <c r="AC247" t="str">
        <f>IF(AB247=1,COUNTIF($AB$1:AB247,1),"")</f>
        <v/>
      </c>
    </row>
    <row r="248" spans="27:29" x14ac:dyDescent="0.25">
      <c r="AA248">
        <f>'4'!C154</f>
        <v>0</v>
      </c>
      <c r="AB248">
        <f>IF(AA248="",0,IF(COUNTIF($AA$1:AA248,AA248)=1,1,0))</f>
        <v>0</v>
      </c>
      <c r="AC248" t="str">
        <f>IF(AB248=1,COUNTIF($AB$1:AB248,1),"")</f>
        <v/>
      </c>
    </row>
    <row r="249" spans="27:29" x14ac:dyDescent="0.25">
      <c r="AA249">
        <f>'4'!C155</f>
        <v>0</v>
      </c>
      <c r="AB249">
        <f>IF(AA249="",0,IF(COUNTIF($AA$1:AA249,AA249)=1,1,0))</f>
        <v>0</v>
      </c>
      <c r="AC249" t="str">
        <f>IF(AB249=1,COUNTIF($AB$1:AB249,1),"")</f>
        <v/>
      </c>
    </row>
    <row r="250" spans="27:29" x14ac:dyDescent="0.25">
      <c r="AA250">
        <f>'4'!C156</f>
        <v>0</v>
      </c>
      <c r="AB250">
        <f>IF(AA250="",0,IF(COUNTIF($AA$1:AA250,AA250)=1,1,0))</f>
        <v>0</v>
      </c>
      <c r="AC250" t="str">
        <f>IF(AB250=1,COUNTIF($AB$1:AB250,1),"")</f>
        <v/>
      </c>
    </row>
    <row r="251" spans="27:29" x14ac:dyDescent="0.25">
      <c r="AA251">
        <f>'4'!C157</f>
        <v>0</v>
      </c>
      <c r="AB251">
        <f>IF(AA251="",0,IF(COUNTIF($AA$1:AA251,AA251)=1,1,0))</f>
        <v>0</v>
      </c>
      <c r="AC251" t="str">
        <f>IF(AB251=1,COUNTIF($AB$1:AB251,1),"")</f>
        <v/>
      </c>
    </row>
    <row r="252" spans="27:29" x14ac:dyDescent="0.25">
      <c r="AA252">
        <f>'4'!C158</f>
        <v>0</v>
      </c>
      <c r="AB252">
        <f>IF(AA252="",0,IF(COUNTIF($AA$1:AA252,AA252)=1,1,0))</f>
        <v>0</v>
      </c>
      <c r="AC252" t="str">
        <f>IF(AB252=1,COUNTIF($AB$1:AB252,1),"")</f>
        <v/>
      </c>
    </row>
    <row r="253" spans="27:29" x14ac:dyDescent="0.25">
      <c r="AA253">
        <f>'4'!C159</f>
        <v>0</v>
      </c>
      <c r="AB253">
        <f>IF(AA253="",0,IF(COUNTIF($AA$1:AA253,AA253)=1,1,0))</f>
        <v>0</v>
      </c>
      <c r="AC253" t="str">
        <f>IF(AB253=1,COUNTIF($AB$1:AB253,1),"")</f>
        <v/>
      </c>
    </row>
    <row r="254" spans="27:29" x14ac:dyDescent="0.25">
      <c r="AA254">
        <f>'4'!C160</f>
        <v>0</v>
      </c>
      <c r="AB254">
        <f>IF(AA254="",0,IF(COUNTIF($AA$1:AA254,AA254)=1,1,0))</f>
        <v>0</v>
      </c>
      <c r="AC254" t="str">
        <f>IF(AB254=1,COUNTIF($AB$1:AB254,1),"")</f>
        <v/>
      </c>
    </row>
    <row r="255" spans="27:29" x14ac:dyDescent="0.25">
      <c r="AA255">
        <f>'4'!C161</f>
        <v>0</v>
      </c>
      <c r="AB255">
        <f>IF(AA255="",0,IF(COUNTIF($AA$1:AA255,AA255)=1,1,0))</f>
        <v>0</v>
      </c>
      <c r="AC255" t="str">
        <f>IF(AB255=1,COUNTIF($AB$1:AB255,1),"")</f>
        <v/>
      </c>
    </row>
    <row r="256" spans="27:29" x14ac:dyDescent="0.25">
      <c r="AA256">
        <f>'4'!C162</f>
        <v>0</v>
      </c>
      <c r="AB256">
        <f>IF(AA256="",0,IF(COUNTIF($AA$1:AA256,AA256)=1,1,0))</f>
        <v>0</v>
      </c>
      <c r="AC256" t="str">
        <f>IF(AB256=1,COUNTIF($AB$1:AB256,1),"")</f>
        <v/>
      </c>
    </row>
    <row r="257" spans="27:29" x14ac:dyDescent="0.25">
      <c r="AA257">
        <f>'4'!C163</f>
        <v>0</v>
      </c>
      <c r="AB257">
        <f>IF(AA257="",0,IF(COUNTIF($AA$1:AA257,AA257)=1,1,0))</f>
        <v>0</v>
      </c>
      <c r="AC257" t="str">
        <f>IF(AB257=1,COUNTIF($AB$1:AB257,1),"")</f>
        <v/>
      </c>
    </row>
    <row r="258" spans="27:29" x14ac:dyDescent="0.25">
      <c r="AA258">
        <f>'4'!C164</f>
        <v>0</v>
      </c>
      <c r="AB258">
        <f>IF(AA258="",0,IF(COUNTIF($AA$1:AA258,AA258)=1,1,0))</f>
        <v>0</v>
      </c>
      <c r="AC258" t="str">
        <f>IF(AB258=1,COUNTIF($AB$1:AB258,1),"")</f>
        <v/>
      </c>
    </row>
    <row r="259" spans="27:29" x14ac:dyDescent="0.25">
      <c r="AA259">
        <f>'4'!C165</f>
        <v>0</v>
      </c>
      <c r="AB259">
        <f>IF(AA259="",0,IF(COUNTIF($AA$1:AA259,AA259)=1,1,0))</f>
        <v>0</v>
      </c>
      <c r="AC259" t="str">
        <f>IF(AB259=1,COUNTIF($AB$1:AB259,1),"")</f>
        <v/>
      </c>
    </row>
    <row r="260" spans="27:29" x14ac:dyDescent="0.25">
      <c r="AA260">
        <f>'4'!C166</f>
        <v>0</v>
      </c>
      <c r="AB260">
        <f>IF(AA260="",0,IF(COUNTIF($AA$1:AA260,AA260)=1,1,0))</f>
        <v>0</v>
      </c>
      <c r="AC260" t="str">
        <f>IF(AB260=1,COUNTIF($AB$1:AB260,1),"")</f>
        <v/>
      </c>
    </row>
    <row r="261" spans="27:29" x14ac:dyDescent="0.25">
      <c r="AA261">
        <f>'4'!C167</f>
        <v>0</v>
      </c>
      <c r="AB261">
        <f>IF(AA261="",0,IF(COUNTIF($AA$1:AA261,AA261)=1,1,0))</f>
        <v>0</v>
      </c>
      <c r="AC261" t="str">
        <f>IF(AB261=1,COUNTIF($AB$1:AB261,1),"")</f>
        <v/>
      </c>
    </row>
    <row r="262" spans="27:29" x14ac:dyDescent="0.25">
      <c r="AA262">
        <f>'4'!C168</f>
        <v>0</v>
      </c>
      <c r="AB262">
        <f>IF(AA262="",0,IF(COUNTIF($AA$1:AA262,AA262)=1,1,0))</f>
        <v>0</v>
      </c>
      <c r="AC262" t="str">
        <f>IF(AB262=1,COUNTIF($AB$1:AB262,1),"")</f>
        <v/>
      </c>
    </row>
    <row r="263" spans="27:29" x14ac:dyDescent="0.25">
      <c r="AA263">
        <f>'4'!C169</f>
        <v>0</v>
      </c>
      <c r="AB263">
        <f>IF(AA263="",0,IF(COUNTIF($AA$1:AA263,AA263)=1,1,0))</f>
        <v>0</v>
      </c>
      <c r="AC263" t="str">
        <f>IF(AB263=1,COUNTIF($AB$1:AB263,1),"")</f>
        <v/>
      </c>
    </row>
    <row r="264" spans="27:29" x14ac:dyDescent="0.25">
      <c r="AA264">
        <f>'4'!C170</f>
        <v>0</v>
      </c>
      <c r="AB264">
        <f>IF(AA264="",0,IF(COUNTIF($AA$1:AA264,AA264)=1,1,0))</f>
        <v>0</v>
      </c>
      <c r="AC264" t="str">
        <f>IF(AB264=1,COUNTIF($AB$1:AB264,1),"")</f>
        <v/>
      </c>
    </row>
    <row r="265" spans="27:29" x14ac:dyDescent="0.25">
      <c r="AA265">
        <f>'4'!C171</f>
        <v>0</v>
      </c>
      <c r="AB265">
        <f>IF(AA265="",0,IF(COUNTIF($AA$1:AA265,AA265)=1,1,0))</f>
        <v>0</v>
      </c>
      <c r="AC265" t="str">
        <f>IF(AB265=1,COUNTIF($AB$1:AB265,1),"")</f>
        <v/>
      </c>
    </row>
    <row r="266" spans="27:29" x14ac:dyDescent="0.25">
      <c r="AA266">
        <f>'4'!C172</f>
        <v>0</v>
      </c>
      <c r="AB266">
        <f>IF(AA266="",0,IF(COUNTIF($AA$1:AA266,AA266)=1,1,0))</f>
        <v>0</v>
      </c>
      <c r="AC266" t="str">
        <f>IF(AB266=1,COUNTIF($AB$1:AB266,1),"")</f>
        <v/>
      </c>
    </row>
    <row r="267" spans="27:29" x14ac:dyDescent="0.25">
      <c r="AA267">
        <f>'4'!C173</f>
        <v>0</v>
      </c>
      <c r="AB267">
        <f>IF(AA267="",0,IF(COUNTIF($AA$1:AA267,AA267)=1,1,0))</f>
        <v>0</v>
      </c>
      <c r="AC267" t="str">
        <f>IF(AB267=1,COUNTIF($AB$1:AB267,1),"")</f>
        <v/>
      </c>
    </row>
    <row r="268" spans="27:29" x14ac:dyDescent="0.25">
      <c r="AA268">
        <f>'4'!C174</f>
        <v>0</v>
      </c>
      <c r="AB268">
        <f>IF(AA268="",0,IF(COUNTIF($AA$1:AA268,AA268)=1,1,0))</f>
        <v>0</v>
      </c>
      <c r="AC268" t="str">
        <f>IF(AB268=1,COUNTIF($AB$1:AB268,1),"")</f>
        <v/>
      </c>
    </row>
    <row r="269" spans="27:29" x14ac:dyDescent="0.25">
      <c r="AA269">
        <f>'4'!C175</f>
        <v>0</v>
      </c>
      <c r="AB269">
        <f>IF(AA269="",0,IF(COUNTIF($AA$1:AA269,AA269)=1,1,0))</f>
        <v>0</v>
      </c>
      <c r="AC269" t="str">
        <f>IF(AB269=1,COUNTIF($AB$1:AB269,1),"")</f>
        <v/>
      </c>
    </row>
    <row r="270" spans="27:29" x14ac:dyDescent="0.25">
      <c r="AA270">
        <f>'4'!C176</f>
        <v>0</v>
      </c>
      <c r="AB270">
        <f>IF(AA270="",0,IF(COUNTIF($AA$1:AA270,AA270)=1,1,0))</f>
        <v>0</v>
      </c>
      <c r="AC270" t="str">
        <f>IF(AB270=1,COUNTIF($AB$1:AB270,1),"")</f>
        <v/>
      </c>
    </row>
    <row r="271" spans="27:29" x14ac:dyDescent="0.25">
      <c r="AA271">
        <f>'4'!C177</f>
        <v>0</v>
      </c>
      <c r="AB271">
        <f>IF(AA271="",0,IF(COUNTIF($AA$1:AA271,AA271)=1,1,0))</f>
        <v>0</v>
      </c>
      <c r="AC271" t="str">
        <f>IF(AB271=1,COUNTIF($AB$1:AB271,1),"")</f>
        <v/>
      </c>
    </row>
    <row r="272" spans="27:29" x14ac:dyDescent="0.25">
      <c r="AA272">
        <f>'4'!C178</f>
        <v>0</v>
      </c>
      <c r="AB272">
        <f>IF(AA272="",0,IF(COUNTIF($AA$1:AA272,AA272)=1,1,0))</f>
        <v>0</v>
      </c>
      <c r="AC272" t="str">
        <f>IF(AB272=1,COUNTIF($AB$1:AB272,1),"")</f>
        <v/>
      </c>
    </row>
    <row r="273" spans="27:29" x14ac:dyDescent="0.25">
      <c r="AA273">
        <f>'4'!C179</f>
        <v>0</v>
      </c>
      <c r="AB273">
        <f>IF(AA273="",0,IF(COUNTIF($AA$1:AA273,AA273)=1,1,0))</f>
        <v>0</v>
      </c>
      <c r="AC273" t="str">
        <f>IF(AB273=1,COUNTIF($AB$1:AB273,1),"")</f>
        <v/>
      </c>
    </row>
    <row r="274" spans="27:29" x14ac:dyDescent="0.25">
      <c r="AA274">
        <f>'4'!C180</f>
        <v>0</v>
      </c>
      <c r="AB274">
        <f>IF(AA274="",0,IF(COUNTIF($AA$1:AA274,AA274)=1,1,0))</f>
        <v>0</v>
      </c>
      <c r="AC274" t="str">
        <f>IF(AB274=1,COUNTIF($AB$1:AB274,1),"")</f>
        <v/>
      </c>
    </row>
    <row r="275" spans="27:29" x14ac:dyDescent="0.25">
      <c r="AA275">
        <f>'4'!C181</f>
        <v>0</v>
      </c>
      <c r="AB275">
        <f>IF(AA275="",0,IF(COUNTIF($AA$1:AA275,AA275)=1,1,0))</f>
        <v>0</v>
      </c>
      <c r="AC275" t="str">
        <f>IF(AB275=1,COUNTIF($AB$1:AB275,1),"")</f>
        <v/>
      </c>
    </row>
    <row r="276" spans="27:29" x14ac:dyDescent="0.25">
      <c r="AA276">
        <f>'4'!C182</f>
        <v>0</v>
      </c>
      <c r="AB276">
        <f>IF(AA276="",0,IF(COUNTIF($AA$1:AA276,AA276)=1,1,0))</f>
        <v>0</v>
      </c>
      <c r="AC276" t="str">
        <f>IF(AB276=1,COUNTIF($AB$1:AB276,1),"")</f>
        <v/>
      </c>
    </row>
    <row r="277" spans="27:29" x14ac:dyDescent="0.25">
      <c r="AA277">
        <f>'4'!C183</f>
        <v>0</v>
      </c>
      <c r="AB277">
        <f>IF(AA277="",0,IF(COUNTIF($AA$1:AA277,AA277)=1,1,0))</f>
        <v>0</v>
      </c>
      <c r="AC277" t="str">
        <f>IF(AB277=1,COUNTIF($AB$1:AB277,1),"")</f>
        <v/>
      </c>
    </row>
    <row r="278" spans="27:29" x14ac:dyDescent="0.25">
      <c r="AA278">
        <f>'4'!C184</f>
        <v>0</v>
      </c>
      <c r="AB278">
        <f>IF(AA278="",0,IF(COUNTIF($AA$1:AA278,AA278)=1,1,0))</f>
        <v>0</v>
      </c>
      <c r="AC278" t="str">
        <f>IF(AB278=1,COUNTIF($AB$1:AB278,1),"")</f>
        <v/>
      </c>
    </row>
    <row r="279" spans="27:29" x14ac:dyDescent="0.25">
      <c r="AA279">
        <f>'4'!C185</f>
        <v>0</v>
      </c>
      <c r="AB279">
        <f>IF(AA279="",0,IF(COUNTIF($AA$1:AA279,AA279)=1,1,0))</f>
        <v>0</v>
      </c>
      <c r="AC279" t="str">
        <f>IF(AB279=1,COUNTIF($AB$1:AB279,1),"")</f>
        <v/>
      </c>
    </row>
    <row r="280" spans="27:29" x14ac:dyDescent="0.25">
      <c r="AA280">
        <f>'4'!C186</f>
        <v>0</v>
      </c>
      <c r="AB280">
        <f>IF(AA280="",0,IF(COUNTIF($AA$1:AA280,AA280)=1,1,0))</f>
        <v>0</v>
      </c>
      <c r="AC280" t="str">
        <f>IF(AB280=1,COUNTIF($AB$1:AB280,1),"")</f>
        <v/>
      </c>
    </row>
    <row r="281" spans="27:29" x14ac:dyDescent="0.25">
      <c r="AA281">
        <f>'4'!C187</f>
        <v>0</v>
      </c>
      <c r="AB281">
        <f>IF(AA281="",0,IF(COUNTIF($AA$1:AA281,AA281)=1,1,0))</f>
        <v>0</v>
      </c>
      <c r="AC281" t="str">
        <f>IF(AB281=1,COUNTIF($AB$1:AB281,1),"")</f>
        <v/>
      </c>
    </row>
    <row r="282" spans="27:29" x14ac:dyDescent="0.25">
      <c r="AA282">
        <f>'4'!C188</f>
        <v>0</v>
      </c>
      <c r="AB282">
        <f>IF(AA282="",0,IF(COUNTIF($AA$1:AA282,AA282)=1,1,0))</f>
        <v>0</v>
      </c>
      <c r="AC282" t="str">
        <f>IF(AB282=1,COUNTIF($AB$1:AB282,1),"")</f>
        <v/>
      </c>
    </row>
    <row r="283" spans="27:29" x14ac:dyDescent="0.25">
      <c r="AA283">
        <f>'4'!C189</f>
        <v>0</v>
      </c>
      <c r="AB283">
        <f>IF(AA283="",0,IF(COUNTIF($AA$1:AA283,AA283)=1,1,0))</f>
        <v>0</v>
      </c>
      <c r="AC283" t="str">
        <f>IF(AB283=1,COUNTIF($AB$1:AB283,1),"")</f>
        <v/>
      </c>
    </row>
    <row r="284" spans="27:29" x14ac:dyDescent="0.25">
      <c r="AA284">
        <f>'4'!C190</f>
        <v>0</v>
      </c>
      <c r="AB284">
        <f>IF(AA284="",0,IF(COUNTIF($AA$1:AA284,AA284)=1,1,0))</f>
        <v>0</v>
      </c>
      <c r="AC284" t="str">
        <f>IF(AB284=1,COUNTIF($AB$1:AB284,1),"")</f>
        <v/>
      </c>
    </row>
    <row r="285" spans="27:29" x14ac:dyDescent="0.25">
      <c r="AA285">
        <f>'4'!C191</f>
        <v>0</v>
      </c>
      <c r="AB285">
        <f>IF(AA285="",0,IF(COUNTIF($AA$1:AA285,AA285)=1,1,0))</f>
        <v>0</v>
      </c>
      <c r="AC285" t="str">
        <f>IF(AB285=1,COUNTIF($AB$1:AB285,1),"")</f>
        <v/>
      </c>
    </row>
    <row r="286" spans="27:29" x14ac:dyDescent="0.25">
      <c r="AA286">
        <f>'4'!C192</f>
        <v>0</v>
      </c>
      <c r="AB286">
        <f>IF(AA286="",0,IF(COUNTIF($AA$1:AA286,AA286)=1,1,0))</f>
        <v>0</v>
      </c>
      <c r="AC286" t="str">
        <f>IF(AB286=1,COUNTIF($AB$1:AB286,1),"")</f>
        <v/>
      </c>
    </row>
    <row r="287" spans="27:29" x14ac:dyDescent="0.25">
      <c r="AA287">
        <f>'4'!C193</f>
        <v>0</v>
      </c>
      <c r="AB287">
        <f>IF(AA287="",0,IF(COUNTIF($AA$1:AA287,AA287)=1,1,0))</f>
        <v>0</v>
      </c>
      <c r="AC287" t="str">
        <f>IF(AB287=1,COUNTIF($AB$1:AB287,1),"")</f>
        <v/>
      </c>
    </row>
    <row r="288" spans="27:29" x14ac:dyDescent="0.25">
      <c r="AA288">
        <f>'4'!C194</f>
        <v>0</v>
      </c>
      <c r="AB288">
        <f>IF(AA288="",0,IF(COUNTIF($AA$1:AA288,AA288)=1,1,0))</f>
        <v>0</v>
      </c>
      <c r="AC288" t="str">
        <f>IF(AB288=1,COUNTIF($AB$1:AB288,1),"")</f>
        <v/>
      </c>
    </row>
    <row r="289" spans="27:29" x14ac:dyDescent="0.25">
      <c r="AA289">
        <f>'4'!C195</f>
        <v>0</v>
      </c>
      <c r="AB289">
        <f>IF(AA289="",0,IF(COUNTIF($AA$1:AA289,AA289)=1,1,0))</f>
        <v>0</v>
      </c>
      <c r="AC289" t="str">
        <f>IF(AB289=1,COUNTIF($AB$1:AB289,1),"")</f>
        <v/>
      </c>
    </row>
    <row r="290" spans="27:29" x14ac:dyDescent="0.25">
      <c r="AA290">
        <f>'4'!C196</f>
        <v>0</v>
      </c>
      <c r="AB290">
        <f>IF(AA290="",0,IF(COUNTIF($AA$1:AA290,AA290)=1,1,0))</f>
        <v>0</v>
      </c>
      <c r="AC290" t="str">
        <f>IF(AB290=1,COUNTIF($AB$1:AB290,1),"")</f>
        <v/>
      </c>
    </row>
    <row r="291" spans="27:29" x14ac:dyDescent="0.25">
      <c r="AA291">
        <f>'4'!C197</f>
        <v>0</v>
      </c>
      <c r="AB291">
        <f>IF(AA291="",0,IF(COUNTIF($AA$1:AA291,AA291)=1,1,0))</f>
        <v>0</v>
      </c>
      <c r="AC291" t="str">
        <f>IF(AB291=1,COUNTIF($AB$1:AB291,1),"")</f>
        <v/>
      </c>
    </row>
    <row r="292" spans="27:29" x14ac:dyDescent="0.25">
      <c r="AA292">
        <f>'4'!C198</f>
        <v>0</v>
      </c>
      <c r="AB292">
        <f>IF(AA292="",0,IF(COUNTIF($AA$1:AA292,AA292)=1,1,0))</f>
        <v>0</v>
      </c>
      <c r="AC292" t="str">
        <f>IF(AB292=1,COUNTIF($AB$1:AB292,1),"")</f>
        <v/>
      </c>
    </row>
    <row r="293" spans="27:29" x14ac:dyDescent="0.25">
      <c r="AA293">
        <f>'4'!C199</f>
        <v>0</v>
      </c>
      <c r="AB293">
        <f>IF(AA293="",0,IF(COUNTIF($AA$1:AA293,AA293)=1,1,0))</f>
        <v>0</v>
      </c>
      <c r="AC293" t="str">
        <f>IF(AB293=1,COUNTIF($AB$1:AB293,1),"")</f>
        <v/>
      </c>
    </row>
    <row r="294" spans="27:29" x14ac:dyDescent="0.25">
      <c r="AA294">
        <f>'4'!C200</f>
        <v>0</v>
      </c>
      <c r="AB294">
        <f>IF(AA294="",0,IF(COUNTIF($AA$1:AA294,AA294)=1,1,0))</f>
        <v>0</v>
      </c>
      <c r="AC294" t="str">
        <f>IF(AB294=1,COUNTIF($AB$1:AB294,1),"")</f>
        <v/>
      </c>
    </row>
    <row r="295" spans="27:29" x14ac:dyDescent="0.25">
      <c r="AA295">
        <f>'4'!C201</f>
        <v>0</v>
      </c>
      <c r="AB295">
        <f>IF(AA295="",0,IF(COUNTIF($AA$1:AA295,AA295)=1,1,0))</f>
        <v>0</v>
      </c>
      <c r="AC295" t="str">
        <f>IF(AB295=1,COUNTIF($AB$1:AB295,1),"")</f>
        <v/>
      </c>
    </row>
    <row r="296" spans="27:29" x14ac:dyDescent="0.25">
      <c r="AA296">
        <f>'4'!C202</f>
        <v>0</v>
      </c>
      <c r="AB296">
        <f>IF(AA296="",0,IF(COUNTIF($AA$1:AA296,AA296)=1,1,0))</f>
        <v>0</v>
      </c>
      <c r="AC296" t="str">
        <f>IF(AB296=1,COUNTIF($AB$1:AB296,1),"")</f>
        <v/>
      </c>
    </row>
    <row r="297" spans="27:29" x14ac:dyDescent="0.25">
      <c r="AA297">
        <f>'4'!C203</f>
        <v>0</v>
      </c>
      <c r="AB297">
        <f>IF(AA297="",0,IF(COUNTIF($AA$1:AA297,AA297)=1,1,0))</f>
        <v>0</v>
      </c>
      <c r="AC297" t="str">
        <f>IF(AB297=1,COUNTIF($AB$1:AB297,1),"")</f>
        <v/>
      </c>
    </row>
    <row r="298" spans="27:29" x14ac:dyDescent="0.25">
      <c r="AA298">
        <f>'4'!C204</f>
        <v>0</v>
      </c>
      <c r="AB298">
        <f>IF(AA298="",0,IF(COUNTIF($AA$1:AA298,AA298)=1,1,0))</f>
        <v>0</v>
      </c>
      <c r="AC298" t="str">
        <f>IF(AB298=1,COUNTIF($AB$1:AB298,1),"")</f>
        <v/>
      </c>
    </row>
    <row r="299" spans="27:29" x14ac:dyDescent="0.25">
      <c r="AA299">
        <f>'4'!C205</f>
        <v>0</v>
      </c>
      <c r="AB299">
        <f>IF(AA299="",0,IF(COUNTIF($AA$1:AA299,AA299)=1,1,0))</f>
        <v>0</v>
      </c>
      <c r="AC299" t="str">
        <f>IF(AB299=1,COUNTIF($AB$1:AB299,1),"")</f>
        <v/>
      </c>
    </row>
    <row r="300" spans="27:29" x14ac:dyDescent="0.25">
      <c r="AA300">
        <f>'4'!C206</f>
        <v>0</v>
      </c>
      <c r="AB300">
        <f>IF(AA300="",0,IF(COUNTIF($AA$1:AA300,AA300)=1,1,0))</f>
        <v>0</v>
      </c>
      <c r="AC300" t="str">
        <f>IF(AB300=1,COUNTIF($AB$1:AB300,1),"")</f>
        <v/>
      </c>
    </row>
    <row r="301" spans="27:29" x14ac:dyDescent="0.25">
      <c r="AA301">
        <f>'5'!C107</f>
        <v>0</v>
      </c>
      <c r="AB301">
        <f>IF(AA301="",0,IF(COUNTIF($AA$1:AA301,AA301)=1,1,0))</f>
        <v>0</v>
      </c>
      <c r="AC301" t="str">
        <f>IF(AB301=1,COUNTIF($AB$1:AB301,1),"")</f>
        <v/>
      </c>
    </row>
    <row r="302" spans="27:29" x14ac:dyDescent="0.25">
      <c r="AA302">
        <f>'5'!C108</f>
        <v>0</v>
      </c>
      <c r="AB302">
        <f>IF(AA302="",0,IF(COUNTIF($AA$1:AA302,AA302)=1,1,0))</f>
        <v>0</v>
      </c>
      <c r="AC302" t="str">
        <f>IF(AB302=1,COUNTIF($AB$1:AB302,1),"")</f>
        <v/>
      </c>
    </row>
    <row r="303" spans="27:29" x14ac:dyDescent="0.25">
      <c r="AA303">
        <f>'5'!C109</f>
        <v>0</v>
      </c>
      <c r="AB303">
        <f>IF(AA303="",0,IF(COUNTIF($AA$1:AA303,AA303)=1,1,0))</f>
        <v>0</v>
      </c>
      <c r="AC303" t="str">
        <f>IF(AB303=1,COUNTIF($AB$1:AB303,1),"")</f>
        <v/>
      </c>
    </row>
    <row r="304" spans="27:29" x14ac:dyDescent="0.25">
      <c r="AA304">
        <f>'5'!C110</f>
        <v>0</v>
      </c>
      <c r="AB304">
        <f>IF(AA304="",0,IF(COUNTIF($AA$1:AA304,AA304)=1,1,0))</f>
        <v>0</v>
      </c>
      <c r="AC304" t="str">
        <f>IF(AB304=1,COUNTIF($AB$1:AB304,1),"")</f>
        <v/>
      </c>
    </row>
    <row r="305" spans="27:29" x14ac:dyDescent="0.25">
      <c r="AA305">
        <f>'5'!C111</f>
        <v>0</v>
      </c>
      <c r="AB305">
        <f>IF(AA305="",0,IF(COUNTIF($AA$1:AA305,AA305)=1,1,0))</f>
        <v>0</v>
      </c>
      <c r="AC305" t="str">
        <f>IF(AB305=1,COUNTIF($AB$1:AB305,1),"")</f>
        <v/>
      </c>
    </row>
    <row r="306" spans="27:29" x14ac:dyDescent="0.25">
      <c r="AA306">
        <f>'5'!C112</f>
        <v>0</v>
      </c>
      <c r="AB306">
        <f>IF(AA306="",0,IF(COUNTIF($AA$1:AA306,AA306)=1,1,0))</f>
        <v>0</v>
      </c>
      <c r="AC306" t="str">
        <f>IF(AB306=1,COUNTIF($AB$1:AB306,1),"")</f>
        <v/>
      </c>
    </row>
    <row r="307" spans="27:29" x14ac:dyDescent="0.25">
      <c r="AA307">
        <f>'5'!C113</f>
        <v>0</v>
      </c>
      <c r="AB307">
        <f>IF(AA307="",0,IF(COUNTIF($AA$1:AA307,AA307)=1,1,0))</f>
        <v>0</v>
      </c>
      <c r="AC307" t="str">
        <f>IF(AB307=1,COUNTIF($AB$1:AB307,1),"")</f>
        <v/>
      </c>
    </row>
    <row r="308" spans="27:29" x14ac:dyDescent="0.25">
      <c r="AA308">
        <f>'5'!C114</f>
        <v>0</v>
      </c>
      <c r="AB308">
        <f>IF(AA308="",0,IF(COUNTIF($AA$1:AA308,AA308)=1,1,0))</f>
        <v>0</v>
      </c>
      <c r="AC308" t="str">
        <f>IF(AB308=1,COUNTIF($AB$1:AB308,1),"")</f>
        <v/>
      </c>
    </row>
    <row r="309" spans="27:29" x14ac:dyDescent="0.25">
      <c r="AA309">
        <f>'5'!C115</f>
        <v>0</v>
      </c>
      <c r="AB309">
        <f>IF(AA309="",0,IF(COUNTIF($AA$1:AA309,AA309)=1,1,0))</f>
        <v>0</v>
      </c>
      <c r="AC309" t="str">
        <f>IF(AB309=1,COUNTIF($AB$1:AB309,1),"")</f>
        <v/>
      </c>
    </row>
    <row r="310" spans="27:29" x14ac:dyDescent="0.25">
      <c r="AA310">
        <f>'5'!C116</f>
        <v>0</v>
      </c>
      <c r="AB310">
        <f>IF(AA310="",0,IF(COUNTIF($AA$1:AA310,AA310)=1,1,0))</f>
        <v>0</v>
      </c>
      <c r="AC310" t="str">
        <f>IF(AB310=1,COUNTIF($AB$1:AB310,1),"")</f>
        <v/>
      </c>
    </row>
    <row r="311" spans="27:29" x14ac:dyDescent="0.25">
      <c r="AA311">
        <f>'5'!C117</f>
        <v>0</v>
      </c>
      <c r="AB311">
        <f>IF(AA311="",0,IF(COUNTIF($AA$1:AA311,AA311)=1,1,0))</f>
        <v>0</v>
      </c>
      <c r="AC311" t="str">
        <f>IF(AB311=1,COUNTIF($AB$1:AB311,1),"")</f>
        <v/>
      </c>
    </row>
    <row r="312" spans="27:29" x14ac:dyDescent="0.25">
      <c r="AA312">
        <f>'5'!C118</f>
        <v>0</v>
      </c>
      <c r="AB312">
        <f>IF(AA312="",0,IF(COUNTIF($AA$1:AA312,AA312)=1,1,0))</f>
        <v>0</v>
      </c>
      <c r="AC312" t="str">
        <f>IF(AB312=1,COUNTIF($AB$1:AB312,1),"")</f>
        <v/>
      </c>
    </row>
    <row r="313" spans="27:29" x14ac:dyDescent="0.25">
      <c r="AA313">
        <f>'5'!C119</f>
        <v>0</v>
      </c>
      <c r="AB313">
        <f>IF(AA313="",0,IF(COUNTIF($AA$1:AA313,AA313)=1,1,0))</f>
        <v>0</v>
      </c>
      <c r="AC313" t="str">
        <f>IF(AB313=1,COUNTIF($AB$1:AB313,1),"")</f>
        <v/>
      </c>
    </row>
    <row r="314" spans="27:29" x14ac:dyDescent="0.25">
      <c r="AA314">
        <f>'5'!C120</f>
        <v>0</v>
      </c>
      <c r="AB314">
        <f>IF(AA314="",0,IF(COUNTIF($AA$1:AA314,AA314)=1,1,0))</f>
        <v>0</v>
      </c>
      <c r="AC314" t="str">
        <f>IF(AB314=1,COUNTIF($AB$1:AB314,1),"")</f>
        <v/>
      </c>
    </row>
    <row r="315" spans="27:29" x14ac:dyDescent="0.25">
      <c r="AA315">
        <f>'5'!C121</f>
        <v>0</v>
      </c>
      <c r="AB315">
        <f>IF(AA315="",0,IF(COUNTIF($AA$1:AA315,AA315)=1,1,0))</f>
        <v>0</v>
      </c>
      <c r="AC315" t="str">
        <f>IF(AB315=1,COUNTIF($AB$1:AB315,1),"")</f>
        <v/>
      </c>
    </row>
    <row r="316" spans="27:29" x14ac:dyDescent="0.25">
      <c r="AA316">
        <f>'5'!C122</f>
        <v>0</v>
      </c>
      <c r="AB316">
        <f>IF(AA316="",0,IF(COUNTIF($AA$1:AA316,AA316)=1,1,0))</f>
        <v>0</v>
      </c>
      <c r="AC316" t="str">
        <f>IF(AB316=1,COUNTIF($AB$1:AB316,1),"")</f>
        <v/>
      </c>
    </row>
    <row r="317" spans="27:29" x14ac:dyDescent="0.25">
      <c r="AA317">
        <f>'5'!C123</f>
        <v>0</v>
      </c>
      <c r="AB317">
        <f>IF(AA317="",0,IF(COUNTIF($AA$1:AA317,AA317)=1,1,0))</f>
        <v>0</v>
      </c>
      <c r="AC317" t="str">
        <f>IF(AB317=1,COUNTIF($AB$1:AB317,1),"")</f>
        <v/>
      </c>
    </row>
    <row r="318" spans="27:29" x14ac:dyDescent="0.25">
      <c r="AA318">
        <f>'5'!C124</f>
        <v>0</v>
      </c>
      <c r="AB318">
        <f>IF(AA318="",0,IF(COUNTIF($AA$1:AA318,AA318)=1,1,0))</f>
        <v>0</v>
      </c>
      <c r="AC318" t="str">
        <f>IF(AB318=1,COUNTIF($AB$1:AB318,1),"")</f>
        <v/>
      </c>
    </row>
    <row r="319" spans="27:29" x14ac:dyDescent="0.25">
      <c r="AA319">
        <f>'5'!C125</f>
        <v>0</v>
      </c>
      <c r="AB319">
        <f>IF(AA319="",0,IF(COUNTIF($AA$1:AA319,AA319)=1,1,0))</f>
        <v>0</v>
      </c>
      <c r="AC319" t="str">
        <f>IF(AB319=1,COUNTIF($AB$1:AB319,1),"")</f>
        <v/>
      </c>
    </row>
    <row r="320" spans="27:29" x14ac:dyDescent="0.25">
      <c r="AA320">
        <f>'5'!C126</f>
        <v>0</v>
      </c>
      <c r="AB320">
        <f>IF(AA320="",0,IF(COUNTIF($AA$1:AA320,AA320)=1,1,0))</f>
        <v>0</v>
      </c>
      <c r="AC320" t="str">
        <f>IF(AB320=1,COUNTIF($AB$1:AB320,1),"")</f>
        <v/>
      </c>
    </row>
    <row r="321" spans="27:29" x14ac:dyDescent="0.25">
      <c r="AA321">
        <f>'5'!C127</f>
        <v>0</v>
      </c>
      <c r="AB321">
        <f>IF(AA321="",0,IF(COUNTIF($AA$1:AA321,AA321)=1,1,0))</f>
        <v>0</v>
      </c>
      <c r="AC321" t="str">
        <f>IF(AB321=1,COUNTIF($AB$1:AB321,1),"")</f>
        <v/>
      </c>
    </row>
    <row r="322" spans="27:29" x14ac:dyDescent="0.25">
      <c r="AA322">
        <f>'5'!C128</f>
        <v>0</v>
      </c>
      <c r="AB322">
        <f>IF(AA322="",0,IF(COUNTIF($AA$1:AA322,AA322)=1,1,0))</f>
        <v>0</v>
      </c>
      <c r="AC322" t="str">
        <f>IF(AB322=1,COUNTIF($AB$1:AB322,1),"")</f>
        <v/>
      </c>
    </row>
    <row r="323" spans="27:29" x14ac:dyDescent="0.25">
      <c r="AA323">
        <f>'5'!C129</f>
        <v>0</v>
      </c>
      <c r="AB323">
        <f>IF(AA323="",0,IF(COUNTIF($AA$1:AA323,AA323)=1,1,0))</f>
        <v>0</v>
      </c>
      <c r="AC323" t="str">
        <f>IF(AB323=1,COUNTIF($AB$1:AB323,1),"")</f>
        <v/>
      </c>
    </row>
    <row r="324" spans="27:29" x14ac:dyDescent="0.25">
      <c r="AA324">
        <f>'5'!C130</f>
        <v>0</v>
      </c>
      <c r="AB324">
        <f>IF(AA324="",0,IF(COUNTIF($AA$1:AA324,AA324)=1,1,0))</f>
        <v>0</v>
      </c>
      <c r="AC324" t="str">
        <f>IF(AB324=1,COUNTIF($AB$1:AB324,1),"")</f>
        <v/>
      </c>
    </row>
    <row r="325" spans="27:29" x14ac:dyDescent="0.25">
      <c r="AA325">
        <f>'5'!C131</f>
        <v>0</v>
      </c>
      <c r="AB325">
        <f>IF(AA325="",0,IF(COUNTIF($AA$1:AA325,AA325)=1,1,0))</f>
        <v>0</v>
      </c>
      <c r="AC325" t="str">
        <f>IF(AB325=1,COUNTIF($AB$1:AB325,1),"")</f>
        <v/>
      </c>
    </row>
    <row r="326" spans="27:29" x14ac:dyDescent="0.25">
      <c r="AA326">
        <f>'5'!C132</f>
        <v>0</v>
      </c>
      <c r="AB326">
        <f>IF(AA326="",0,IF(COUNTIF($AA$1:AA326,AA326)=1,1,0))</f>
        <v>0</v>
      </c>
      <c r="AC326" t="str">
        <f>IF(AB326=1,COUNTIF($AB$1:AB326,1),"")</f>
        <v/>
      </c>
    </row>
    <row r="327" spans="27:29" x14ac:dyDescent="0.25">
      <c r="AA327">
        <f>'5'!C133</f>
        <v>0</v>
      </c>
      <c r="AB327">
        <f>IF(AA327="",0,IF(COUNTIF($AA$1:AA327,AA327)=1,1,0))</f>
        <v>0</v>
      </c>
      <c r="AC327" t="str">
        <f>IF(AB327=1,COUNTIF($AB$1:AB327,1),"")</f>
        <v/>
      </c>
    </row>
    <row r="328" spans="27:29" x14ac:dyDescent="0.25">
      <c r="AA328">
        <f>'5'!C134</f>
        <v>0</v>
      </c>
      <c r="AB328">
        <f>IF(AA328="",0,IF(COUNTIF($AA$1:AA328,AA328)=1,1,0))</f>
        <v>0</v>
      </c>
      <c r="AC328" t="str">
        <f>IF(AB328=1,COUNTIF($AB$1:AB328,1),"")</f>
        <v/>
      </c>
    </row>
    <row r="329" spans="27:29" x14ac:dyDescent="0.25">
      <c r="AA329">
        <f>'5'!C135</f>
        <v>0</v>
      </c>
      <c r="AB329">
        <f>IF(AA329="",0,IF(COUNTIF($AA$1:AA329,AA329)=1,1,0))</f>
        <v>0</v>
      </c>
      <c r="AC329" t="str">
        <f>IF(AB329=1,COUNTIF($AB$1:AB329,1),"")</f>
        <v/>
      </c>
    </row>
    <row r="330" spans="27:29" x14ac:dyDescent="0.25">
      <c r="AA330">
        <f>'5'!C136</f>
        <v>0</v>
      </c>
      <c r="AB330">
        <f>IF(AA330="",0,IF(COUNTIF($AA$1:AA330,AA330)=1,1,0))</f>
        <v>0</v>
      </c>
      <c r="AC330" t="str">
        <f>IF(AB330=1,COUNTIF($AB$1:AB330,1),"")</f>
        <v/>
      </c>
    </row>
    <row r="331" spans="27:29" x14ac:dyDescent="0.25">
      <c r="AA331">
        <f>'5'!C137</f>
        <v>0</v>
      </c>
      <c r="AB331">
        <f>IF(AA331="",0,IF(COUNTIF($AA$1:AA331,AA331)=1,1,0))</f>
        <v>0</v>
      </c>
      <c r="AC331" t="str">
        <f>IF(AB331=1,COUNTIF($AB$1:AB331,1),"")</f>
        <v/>
      </c>
    </row>
    <row r="332" spans="27:29" x14ac:dyDescent="0.25">
      <c r="AA332">
        <f>'5'!C138</f>
        <v>0</v>
      </c>
      <c r="AB332">
        <f>IF(AA332="",0,IF(COUNTIF($AA$1:AA332,AA332)=1,1,0))</f>
        <v>0</v>
      </c>
      <c r="AC332" t="str">
        <f>IF(AB332=1,COUNTIF($AB$1:AB332,1),"")</f>
        <v/>
      </c>
    </row>
    <row r="333" spans="27:29" x14ac:dyDescent="0.25">
      <c r="AA333">
        <f>'5'!C139</f>
        <v>0</v>
      </c>
      <c r="AB333">
        <f>IF(AA333="",0,IF(COUNTIF($AA$1:AA333,AA333)=1,1,0))</f>
        <v>0</v>
      </c>
      <c r="AC333" t="str">
        <f>IF(AB333=1,COUNTIF($AB$1:AB333,1),"")</f>
        <v/>
      </c>
    </row>
    <row r="334" spans="27:29" x14ac:dyDescent="0.25">
      <c r="AA334">
        <f>'5'!C140</f>
        <v>0</v>
      </c>
      <c r="AB334">
        <f>IF(AA334="",0,IF(COUNTIF($AA$1:AA334,AA334)=1,1,0))</f>
        <v>0</v>
      </c>
      <c r="AC334" t="str">
        <f>IF(AB334=1,COUNTIF($AB$1:AB334,1),"")</f>
        <v/>
      </c>
    </row>
    <row r="335" spans="27:29" x14ac:dyDescent="0.25">
      <c r="AA335">
        <f>'5'!C141</f>
        <v>0</v>
      </c>
      <c r="AB335">
        <f>IF(AA335="",0,IF(COUNTIF($AA$1:AA335,AA335)=1,1,0))</f>
        <v>0</v>
      </c>
      <c r="AC335" t="str">
        <f>IF(AB335=1,COUNTIF($AB$1:AB335,1),"")</f>
        <v/>
      </c>
    </row>
    <row r="336" spans="27:29" x14ac:dyDescent="0.25">
      <c r="AA336">
        <f>'5'!C142</f>
        <v>0</v>
      </c>
      <c r="AB336">
        <f>IF(AA336="",0,IF(COUNTIF($AA$1:AA336,AA336)=1,1,0))</f>
        <v>0</v>
      </c>
      <c r="AC336" t="str">
        <f>IF(AB336=1,COUNTIF($AB$1:AB336,1),"")</f>
        <v/>
      </c>
    </row>
    <row r="337" spans="27:29" x14ac:dyDescent="0.25">
      <c r="AA337">
        <f>'5'!C143</f>
        <v>0</v>
      </c>
      <c r="AB337">
        <f>IF(AA337="",0,IF(COUNTIF($AA$1:AA337,AA337)=1,1,0))</f>
        <v>0</v>
      </c>
      <c r="AC337" t="str">
        <f>IF(AB337=1,COUNTIF($AB$1:AB337,1),"")</f>
        <v/>
      </c>
    </row>
    <row r="338" spans="27:29" x14ac:dyDescent="0.25">
      <c r="AA338">
        <f>'5'!C144</f>
        <v>0</v>
      </c>
      <c r="AB338">
        <f>IF(AA338="",0,IF(COUNTIF($AA$1:AA338,AA338)=1,1,0))</f>
        <v>0</v>
      </c>
      <c r="AC338" t="str">
        <f>IF(AB338=1,COUNTIF($AB$1:AB338,1),"")</f>
        <v/>
      </c>
    </row>
    <row r="339" spans="27:29" x14ac:dyDescent="0.25">
      <c r="AA339">
        <f>'5'!C145</f>
        <v>0</v>
      </c>
      <c r="AB339">
        <f>IF(AA339="",0,IF(COUNTIF($AA$1:AA339,AA339)=1,1,0))</f>
        <v>0</v>
      </c>
      <c r="AC339" t="str">
        <f>IF(AB339=1,COUNTIF($AB$1:AB339,1),"")</f>
        <v/>
      </c>
    </row>
    <row r="340" spans="27:29" x14ac:dyDescent="0.25">
      <c r="AA340">
        <f>'5'!C146</f>
        <v>0</v>
      </c>
      <c r="AB340">
        <f>IF(AA340="",0,IF(COUNTIF($AA$1:AA340,AA340)=1,1,0))</f>
        <v>0</v>
      </c>
      <c r="AC340" t="str">
        <f>IF(AB340=1,COUNTIF($AB$1:AB340,1),"")</f>
        <v/>
      </c>
    </row>
    <row r="341" spans="27:29" x14ac:dyDescent="0.25">
      <c r="AA341">
        <f>'5'!C147</f>
        <v>0</v>
      </c>
      <c r="AB341">
        <f>IF(AA341="",0,IF(COUNTIF($AA$1:AA341,AA341)=1,1,0))</f>
        <v>0</v>
      </c>
      <c r="AC341" t="str">
        <f>IF(AB341=1,COUNTIF($AB$1:AB341,1),"")</f>
        <v/>
      </c>
    </row>
    <row r="342" spans="27:29" x14ac:dyDescent="0.25">
      <c r="AA342">
        <f>'5'!C148</f>
        <v>0</v>
      </c>
      <c r="AB342">
        <f>IF(AA342="",0,IF(COUNTIF($AA$1:AA342,AA342)=1,1,0))</f>
        <v>0</v>
      </c>
      <c r="AC342" t="str">
        <f>IF(AB342=1,COUNTIF($AB$1:AB342,1),"")</f>
        <v/>
      </c>
    </row>
    <row r="343" spans="27:29" x14ac:dyDescent="0.25">
      <c r="AA343">
        <f>'5'!C149</f>
        <v>0</v>
      </c>
      <c r="AB343">
        <f>IF(AA343="",0,IF(COUNTIF($AA$1:AA343,AA343)=1,1,0))</f>
        <v>0</v>
      </c>
      <c r="AC343" t="str">
        <f>IF(AB343=1,COUNTIF($AB$1:AB343,1),"")</f>
        <v/>
      </c>
    </row>
    <row r="344" spans="27:29" x14ac:dyDescent="0.25">
      <c r="AA344">
        <f>'5'!C150</f>
        <v>0</v>
      </c>
      <c r="AB344">
        <f>IF(AA344="",0,IF(COUNTIF($AA$1:AA344,AA344)=1,1,0))</f>
        <v>0</v>
      </c>
      <c r="AC344" t="str">
        <f>IF(AB344=1,COUNTIF($AB$1:AB344,1),"")</f>
        <v/>
      </c>
    </row>
    <row r="345" spans="27:29" x14ac:dyDescent="0.25">
      <c r="AA345">
        <f>'5'!C151</f>
        <v>0</v>
      </c>
      <c r="AB345">
        <f>IF(AA345="",0,IF(COUNTIF($AA$1:AA345,AA345)=1,1,0))</f>
        <v>0</v>
      </c>
      <c r="AC345" t="str">
        <f>IF(AB345=1,COUNTIF($AB$1:AB345,1),"")</f>
        <v/>
      </c>
    </row>
    <row r="346" spans="27:29" x14ac:dyDescent="0.25">
      <c r="AA346">
        <f>'5'!C152</f>
        <v>0</v>
      </c>
      <c r="AB346">
        <f>IF(AA346="",0,IF(COUNTIF($AA$1:AA346,AA346)=1,1,0))</f>
        <v>0</v>
      </c>
      <c r="AC346" t="str">
        <f>IF(AB346=1,COUNTIF($AB$1:AB346,1),"")</f>
        <v/>
      </c>
    </row>
    <row r="347" spans="27:29" x14ac:dyDescent="0.25">
      <c r="AA347">
        <f>'5'!C153</f>
        <v>0</v>
      </c>
      <c r="AB347">
        <f>IF(AA347="",0,IF(COUNTIF($AA$1:AA347,AA347)=1,1,0))</f>
        <v>0</v>
      </c>
      <c r="AC347" t="str">
        <f>IF(AB347=1,COUNTIF($AB$1:AB347,1),"")</f>
        <v/>
      </c>
    </row>
    <row r="348" spans="27:29" x14ac:dyDescent="0.25">
      <c r="AA348">
        <f>'5'!C154</f>
        <v>0</v>
      </c>
      <c r="AB348">
        <f>IF(AA348="",0,IF(COUNTIF($AA$1:AA348,AA348)=1,1,0))</f>
        <v>0</v>
      </c>
      <c r="AC348" t="str">
        <f>IF(AB348=1,COUNTIF($AB$1:AB348,1),"")</f>
        <v/>
      </c>
    </row>
    <row r="349" spans="27:29" x14ac:dyDescent="0.25">
      <c r="AA349">
        <f>'5'!C155</f>
        <v>0</v>
      </c>
      <c r="AB349">
        <f>IF(AA349="",0,IF(COUNTIF($AA$1:AA349,AA349)=1,1,0))</f>
        <v>0</v>
      </c>
      <c r="AC349" t="str">
        <f>IF(AB349=1,COUNTIF($AB$1:AB349,1),"")</f>
        <v/>
      </c>
    </row>
    <row r="350" spans="27:29" x14ac:dyDescent="0.25">
      <c r="AA350">
        <f>'5'!C156</f>
        <v>0</v>
      </c>
      <c r="AB350">
        <f>IF(AA350="",0,IF(COUNTIF($AA$1:AA350,AA350)=1,1,0))</f>
        <v>0</v>
      </c>
      <c r="AC350" t="str">
        <f>IF(AB350=1,COUNTIF($AB$1:AB350,1),"")</f>
        <v/>
      </c>
    </row>
    <row r="351" spans="27:29" x14ac:dyDescent="0.25">
      <c r="AA351">
        <f>'5'!C157</f>
        <v>0</v>
      </c>
      <c r="AB351">
        <f>IF(AA351="",0,IF(COUNTIF($AA$1:AA351,AA351)=1,1,0))</f>
        <v>0</v>
      </c>
      <c r="AC351" t="str">
        <f>IF(AB351=1,COUNTIF($AB$1:AB351,1),"")</f>
        <v/>
      </c>
    </row>
    <row r="352" spans="27:29" x14ac:dyDescent="0.25">
      <c r="AA352">
        <f>'5'!C158</f>
        <v>0</v>
      </c>
      <c r="AB352">
        <f>IF(AA352="",0,IF(COUNTIF($AA$1:AA352,AA352)=1,1,0))</f>
        <v>0</v>
      </c>
      <c r="AC352" t="str">
        <f>IF(AB352=1,COUNTIF($AB$1:AB352,1),"")</f>
        <v/>
      </c>
    </row>
    <row r="353" spans="27:29" x14ac:dyDescent="0.25">
      <c r="AA353">
        <f>'5'!C159</f>
        <v>0</v>
      </c>
      <c r="AB353">
        <f>IF(AA353="",0,IF(COUNTIF($AA$1:AA353,AA353)=1,1,0))</f>
        <v>0</v>
      </c>
      <c r="AC353" t="str">
        <f>IF(AB353=1,COUNTIF($AB$1:AB353,1),"")</f>
        <v/>
      </c>
    </row>
    <row r="354" spans="27:29" x14ac:dyDescent="0.25">
      <c r="AA354">
        <f>'5'!C160</f>
        <v>0</v>
      </c>
      <c r="AB354">
        <f>IF(AA354="",0,IF(COUNTIF($AA$1:AA354,AA354)=1,1,0))</f>
        <v>0</v>
      </c>
      <c r="AC354" t="str">
        <f>IF(AB354=1,COUNTIF($AB$1:AB354,1),"")</f>
        <v/>
      </c>
    </row>
    <row r="355" spans="27:29" x14ac:dyDescent="0.25">
      <c r="AA355">
        <f>'5'!C161</f>
        <v>0</v>
      </c>
      <c r="AB355">
        <f>IF(AA355="",0,IF(COUNTIF($AA$1:AA355,AA355)=1,1,0))</f>
        <v>0</v>
      </c>
      <c r="AC355" t="str">
        <f>IF(AB355=1,COUNTIF($AB$1:AB355,1),"")</f>
        <v/>
      </c>
    </row>
    <row r="356" spans="27:29" x14ac:dyDescent="0.25">
      <c r="AA356">
        <f>'5'!C162</f>
        <v>0</v>
      </c>
      <c r="AB356">
        <f>IF(AA356="",0,IF(COUNTIF($AA$1:AA356,AA356)=1,1,0))</f>
        <v>0</v>
      </c>
      <c r="AC356" t="str">
        <f>IF(AB356=1,COUNTIF($AB$1:AB356,1),"")</f>
        <v/>
      </c>
    </row>
    <row r="357" spans="27:29" x14ac:dyDescent="0.25">
      <c r="AA357">
        <f>'5'!C163</f>
        <v>0</v>
      </c>
      <c r="AB357">
        <f>IF(AA357="",0,IF(COUNTIF($AA$1:AA357,AA357)=1,1,0))</f>
        <v>0</v>
      </c>
      <c r="AC357" t="str">
        <f>IF(AB357=1,COUNTIF($AB$1:AB357,1),"")</f>
        <v/>
      </c>
    </row>
    <row r="358" spans="27:29" x14ac:dyDescent="0.25">
      <c r="AA358">
        <f>'5'!C164</f>
        <v>0</v>
      </c>
      <c r="AB358">
        <f>IF(AA358="",0,IF(COUNTIF($AA$1:AA358,AA358)=1,1,0))</f>
        <v>0</v>
      </c>
      <c r="AC358" t="str">
        <f>IF(AB358=1,COUNTIF($AB$1:AB358,1),"")</f>
        <v/>
      </c>
    </row>
    <row r="359" spans="27:29" x14ac:dyDescent="0.25">
      <c r="AA359">
        <f>'5'!C165</f>
        <v>0</v>
      </c>
      <c r="AB359">
        <f>IF(AA359="",0,IF(COUNTIF($AA$1:AA359,AA359)=1,1,0))</f>
        <v>0</v>
      </c>
      <c r="AC359" t="str">
        <f>IF(AB359=1,COUNTIF($AB$1:AB359,1),"")</f>
        <v/>
      </c>
    </row>
    <row r="360" spans="27:29" x14ac:dyDescent="0.25">
      <c r="AA360">
        <f>'5'!C166</f>
        <v>0</v>
      </c>
      <c r="AB360">
        <f>IF(AA360="",0,IF(COUNTIF($AA$1:AA360,AA360)=1,1,0))</f>
        <v>0</v>
      </c>
      <c r="AC360" t="str">
        <f>IF(AB360=1,COUNTIF($AB$1:AB360,1),"")</f>
        <v/>
      </c>
    </row>
    <row r="361" spans="27:29" x14ac:dyDescent="0.25">
      <c r="AA361">
        <f>'5'!C167</f>
        <v>0</v>
      </c>
      <c r="AB361">
        <f>IF(AA361="",0,IF(COUNTIF($AA$1:AA361,AA361)=1,1,0))</f>
        <v>0</v>
      </c>
      <c r="AC361" t="str">
        <f>IF(AB361=1,COUNTIF($AB$1:AB361,1),"")</f>
        <v/>
      </c>
    </row>
    <row r="362" spans="27:29" x14ac:dyDescent="0.25">
      <c r="AA362">
        <f>'5'!C168</f>
        <v>0</v>
      </c>
      <c r="AB362">
        <f>IF(AA362="",0,IF(COUNTIF($AA$1:AA362,AA362)=1,1,0))</f>
        <v>0</v>
      </c>
      <c r="AC362" t="str">
        <f>IF(AB362=1,COUNTIF($AB$1:AB362,1),"")</f>
        <v/>
      </c>
    </row>
    <row r="363" spans="27:29" x14ac:dyDescent="0.25">
      <c r="AA363">
        <f>'5'!C169</f>
        <v>0</v>
      </c>
      <c r="AB363">
        <f>IF(AA363="",0,IF(COUNTIF($AA$1:AA363,AA363)=1,1,0))</f>
        <v>0</v>
      </c>
      <c r="AC363" t="str">
        <f>IF(AB363=1,COUNTIF($AB$1:AB363,1),"")</f>
        <v/>
      </c>
    </row>
    <row r="364" spans="27:29" x14ac:dyDescent="0.25">
      <c r="AA364">
        <f>'5'!C170</f>
        <v>0</v>
      </c>
      <c r="AB364">
        <f>IF(AA364="",0,IF(COUNTIF($AA$1:AA364,AA364)=1,1,0))</f>
        <v>0</v>
      </c>
      <c r="AC364" t="str">
        <f>IF(AB364=1,COUNTIF($AB$1:AB364,1),"")</f>
        <v/>
      </c>
    </row>
    <row r="365" spans="27:29" x14ac:dyDescent="0.25">
      <c r="AA365">
        <f>'5'!C171</f>
        <v>0</v>
      </c>
      <c r="AB365">
        <f>IF(AA365="",0,IF(COUNTIF($AA$1:AA365,AA365)=1,1,0))</f>
        <v>0</v>
      </c>
      <c r="AC365" t="str">
        <f>IF(AB365=1,COUNTIF($AB$1:AB365,1),"")</f>
        <v/>
      </c>
    </row>
    <row r="366" spans="27:29" x14ac:dyDescent="0.25">
      <c r="AA366">
        <f>'5'!C172</f>
        <v>0</v>
      </c>
      <c r="AB366">
        <f>IF(AA366="",0,IF(COUNTIF($AA$1:AA366,AA366)=1,1,0))</f>
        <v>0</v>
      </c>
      <c r="AC366" t="str">
        <f>IF(AB366=1,COUNTIF($AB$1:AB366,1),"")</f>
        <v/>
      </c>
    </row>
    <row r="367" spans="27:29" x14ac:dyDescent="0.25">
      <c r="AA367">
        <f>'5'!C173</f>
        <v>0</v>
      </c>
      <c r="AB367">
        <f>IF(AA367="",0,IF(COUNTIF($AA$1:AA367,AA367)=1,1,0))</f>
        <v>0</v>
      </c>
      <c r="AC367" t="str">
        <f>IF(AB367=1,COUNTIF($AB$1:AB367,1),"")</f>
        <v/>
      </c>
    </row>
    <row r="368" spans="27:29" x14ac:dyDescent="0.25">
      <c r="AA368">
        <f>'5'!C174</f>
        <v>0</v>
      </c>
      <c r="AB368">
        <f>IF(AA368="",0,IF(COUNTIF($AA$1:AA368,AA368)=1,1,0))</f>
        <v>0</v>
      </c>
      <c r="AC368" t="str">
        <f>IF(AB368=1,COUNTIF($AB$1:AB368,1),"")</f>
        <v/>
      </c>
    </row>
    <row r="369" spans="27:29" x14ac:dyDescent="0.25">
      <c r="AA369">
        <f>'5'!C175</f>
        <v>0</v>
      </c>
      <c r="AB369">
        <f>IF(AA369="",0,IF(COUNTIF($AA$1:AA369,AA369)=1,1,0))</f>
        <v>0</v>
      </c>
      <c r="AC369" t="str">
        <f>IF(AB369=1,COUNTIF($AB$1:AB369,1),"")</f>
        <v/>
      </c>
    </row>
    <row r="370" spans="27:29" x14ac:dyDescent="0.25">
      <c r="AA370">
        <f>'5'!C176</f>
        <v>0</v>
      </c>
      <c r="AB370">
        <f>IF(AA370="",0,IF(COUNTIF($AA$1:AA370,AA370)=1,1,0))</f>
        <v>0</v>
      </c>
      <c r="AC370" t="str">
        <f>IF(AB370=1,COUNTIF($AB$1:AB370,1),"")</f>
        <v/>
      </c>
    </row>
    <row r="371" spans="27:29" x14ac:dyDescent="0.25">
      <c r="AA371">
        <f>'5'!C177</f>
        <v>0</v>
      </c>
      <c r="AB371">
        <f>IF(AA371="",0,IF(COUNTIF($AA$1:AA371,AA371)=1,1,0))</f>
        <v>0</v>
      </c>
      <c r="AC371" t="str">
        <f>IF(AB371=1,COUNTIF($AB$1:AB371,1),"")</f>
        <v/>
      </c>
    </row>
    <row r="372" spans="27:29" x14ac:dyDescent="0.25">
      <c r="AA372">
        <f>'5'!C178</f>
        <v>0</v>
      </c>
      <c r="AB372">
        <f>IF(AA372="",0,IF(COUNTIF($AA$1:AA372,AA372)=1,1,0))</f>
        <v>0</v>
      </c>
      <c r="AC372" t="str">
        <f>IF(AB372=1,COUNTIF($AB$1:AB372,1),"")</f>
        <v/>
      </c>
    </row>
    <row r="373" spans="27:29" x14ac:dyDescent="0.25">
      <c r="AA373">
        <f>'5'!C179</f>
        <v>0</v>
      </c>
      <c r="AB373">
        <f>IF(AA373="",0,IF(COUNTIF($AA$1:AA373,AA373)=1,1,0))</f>
        <v>0</v>
      </c>
      <c r="AC373" t="str">
        <f>IF(AB373=1,COUNTIF($AB$1:AB373,1),"")</f>
        <v/>
      </c>
    </row>
    <row r="374" spans="27:29" x14ac:dyDescent="0.25">
      <c r="AA374">
        <f>'5'!C180</f>
        <v>0</v>
      </c>
      <c r="AB374">
        <f>IF(AA374="",0,IF(COUNTIF($AA$1:AA374,AA374)=1,1,0))</f>
        <v>0</v>
      </c>
      <c r="AC374" t="str">
        <f>IF(AB374=1,COUNTIF($AB$1:AB374,1),"")</f>
        <v/>
      </c>
    </row>
    <row r="375" spans="27:29" x14ac:dyDescent="0.25">
      <c r="AA375">
        <f>'5'!C181</f>
        <v>0</v>
      </c>
      <c r="AB375">
        <f>IF(AA375="",0,IF(COUNTIF($AA$1:AA375,AA375)=1,1,0))</f>
        <v>0</v>
      </c>
      <c r="AC375" t="str">
        <f>IF(AB375=1,COUNTIF($AB$1:AB375,1),"")</f>
        <v/>
      </c>
    </row>
    <row r="376" spans="27:29" x14ac:dyDescent="0.25">
      <c r="AA376">
        <f>'5'!C182</f>
        <v>0</v>
      </c>
      <c r="AB376">
        <f>IF(AA376="",0,IF(COUNTIF($AA$1:AA376,AA376)=1,1,0))</f>
        <v>0</v>
      </c>
      <c r="AC376" t="str">
        <f>IF(AB376=1,COUNTIF($AB$1:AB376,1),"")</f>
        <v/>
      </c>
    </row>
    <row r="377" spans="27:29" x14ac:dyDescent="0.25">
      <c r="AA377">
        <f>'5'!C183</f>
        <v>0</v>
      </c>
      <c r="AB377">
        <f>IF(AA377="",0,IF(COUNTIF($AA$1:AA377,AA377)=1,1,0))</f>
        <v>0</v>
      </c>
      <c r="AC377" t="str">
        <f>IF(AB377=1,COUNTIF($AB$1:AB377,1),"")</f>
        <v/>
      </c>
    </row>
    <row r="378" spans="27:29" x14ac:dyDescent="0.25">
      <c r="AA378">
        <f>'5'!C184</f>
        <v>0</v>
      </c>
      <c r="AB378">
        <f>IF(AA378="",0,IF(COUNTIF($AA$1:AA378,AA378)=1,1,0))</f>
        <v>0</v>
      </c>
      <c r="AC378" t="str">
        <f>IF(AB378=1,COUNTIF($AB$1:AB378,1),"")</f>
        <v/>
      </c>
    </row>
    <row r="379" spans="27:29" x14ac:dyDescent="0.25">
      <c r="AA379">
        <f>'5'!C185</f>
        <v>0</v>
      </c>
      <c r="AB379">
        <f>IF(AA379="",0,IF(COUNTIF($AA$1:AA379,AA379)=1,1,0))</f>
        <v>0</v>
      </c>
      <c r="AC379" t="str">
        <f>IF(AB379=1,COUNTIF($AB$1:AB379,1),"")</f>
        <v/>
      </c>
    </row>
    <row r="380" spans="27:29" x14ac:dyDescent="0.25">
      <c r="AA380">
        <f>'5'!C186</f>
        <v>0</v>
      </c>
      <c r="AB380">
        <f>IF(AA380="",0,IF(COUNTIF($AA$1:AA380,AA380)=1,1,0))</f>
        <v>0</v>
      </c>
      <c r="AC380" t="str">
        <f>IF(AB380=1,COUNTIF($AB$1:AB380,1),"")</f>
        <v/>
      </c>
    </row>
    <row r="381" spans="27:29" x14ac:dyDescent="0.25">
      <c r="AA381">
        <f>'5'!C187</f>
        <v>0</v>
      </c>
      <c r="AB381">
        <f>IF(AA381="",0,IF(COUNTIF($AA$1:AA381,AA381)=1,1,0))</f>
        <v>0</v>
      </c>
      <c r="AC381" t="str">
        <f>IF(AB381=1,COUNTIF($AB$1:AB381,1),"")</f>
        <v/>
      </c>
    </row>
    <row r="382" spans="27:29" x14ac:dyDescent="0.25">
      <c r="AA382">
        <f>'5'!C188</f>
        <v>0</v>
      </c>
      <c r="AB382">
        <f>IF(AA382="",0,IF(COUNTIF($AA$1:AA382,AA382)=1,1,0))</f>
        <v>0</v>
      </c>
      <c r="AC382" t="str">
        <f>IF(AB382=1,COUNTIF($AB$1:AB382,1),"")</f>
        <v/>
      </c>
    </row>
    <row r="383" spans="27:29" x14ac:dyDescent="0.25">
      <c r="AA383">
        <f>'5'!C189</f>
        <v>0</v>
      </c>
      <c r="AB383">
        <f>IF(AA383="",0,IF(COUNTIF($AA$1:AA383,AA383)=1,1,0))</f>
        <v>0</v>
      </c>
      <c r="AC383" t="str">
        <f>IF(AB383=1,COUNTIF($AB$1:AB383,1),"")</f>
        <v/>
      </c>
    </row>
    <row r="384" spans="27:29" x14ac:dyDescent="0.25">
      <c r="AA384">
        <f>'5'!C190</f>
        <v>0</v>
      </c>
      <c r="AB384">
        <f>IF(AA384="",0,IF(COUNTIF($AA$1:AA384,AA384)=1,1,0))</f>
        <v>0</v>
      </c>
      <c r="AC384" t="str">
        <f>IF(AB384=1,COUNTIF($AB$1:AB384,1),"")</f>
        <v/>
      </c>
    </row>
    <row r="385" spans="27:29" x14ac:dyDescent="0.25">
      <c r="AA385">
        <f>'5'!C191</f>
        <v>0</v>
      </c>
      <c r="AB385">
        <f>IF(AA385="",0,IF(COUNTIF($AA$1:AA385,AA385)=1,1,0))</f>
        <v>0</v>
      </c>
      <c r="AC385" t="str">
        <f>IF(AB385=1,COUNTIF($AB$1:AB385,1),"")</f>
        <v/>
      </c>
    </row>
    <row r="386" spans="27:29" x14ac:dyDescent="0.25">
      <c r="AA386">
        <f>'5'!C192</f>
        <v>0</v>
      </c>
      <c r="AB386">
        <f>IF(AA386="",0,IF(COUNTIF($AA$1:AA386,AA386)=1,1,0))</f>
        <v>0</v>
      </c>
      <c r="AC386" t="str">
        <f>IF(AB386=1,COUNTIF($AB$1:AB386,1),"")</f>
        <v/>
      </c>
    </row>
    <row r="387" spans="27:29" x14ac:dyDescent="0.25">
      <c r="AA387">
        <f>'5'!C193</f>
        <v>0</v>
      </c>
      <c r="AB387">
        <f>IF(AA387="",0,IF(COUNTIF($AA$1:AA387,AA387)=1,1,0))</f>
        <v>0</v>
      </c>
      <c r="AC387" t="str">
        <f>IF(AB387=1,COUNTIF($AB$1:AB387,1),"")</f>
        <v/>
      </c>
    </row>
    <row r="388" spans="27:29" x14ac:dyDescent="0.25">
      <c r="AA388">
        <f>'5'!C194</f>
        <v>0</v>
      </c>
      <c r="AB388">
        <f>IF(AA388="",0,IF(COUNTIF($AA$1:AA388,AA388)=1,1,0))</f>
        <v>0</v>
      </c>
      <c r="AC388" t="str">
        <f>IF(AB388=1,COUNTIF($AB$1:AB388,1),"")</f>
        <v/>
      </c>
    </row>
    <row r="389" spans="27:29" x14ac:dyDescent="0.25">
      <c r="AA389">
        <f>'5'!C195</f>
        <v>0</v>
      </c>
      <c r="AB389">
        <f>IF(AA389="",0,IF(COUNTIF($AA$1:AA389,AA389)=1,1,0))</f>
        <v>0</v>
      </c>
      <c r="AC389" t="str">
        <f>IF(AB389=1,COUNTIF($AB$1:AB389,1),"")</f>
        <v/>
      </c>
    </row>
    <row r="390" spans="27:29" x14ac:dyDescent="0.25">
      <c r="AA390">
        <f>'5'!C196</f>
        <v>0</v>
      </c>
      <c r="AB390">
        <f>IF(AA390="",0,IF(COUNTIF($AA$1:AA390,AA390)=1,1,0))</f>
        <v>0</v>
      </c>
      <c r="AC390" t="str">
        <f>IF(AB390=1,COUNTIF($AB$1:AB390,1),"")</f>
        <v/>
      </c>
    </row>
    <row r="391" spans="27:29" x14ac:dyDescent="0.25">
      <c r="AA391">
        <f>'5'!C197</f>
        <v>0</v>
      </c>
      <c r="AB391">
        <f>IF(AA391="",0,IF(COUNTIF($AA$1:AA391,AA391)=1,1,0))</f>
        <v>0</v>
      </c>
      <c r="AC391" t="str">
        <f>IF(AB391=1,COUNTIF($AB$1:AB391,1),"")</f>
        <v/>
      </c>
    </row>
    <row r="392" spans="27:29" x14ac:dyDescent="0.25">
      <c r="AA392">
        <f>'5'!C198</f>
        <v>0</v>
      </c>
      <c r="AB392">
        <f>IF(AA392="",0,IF(COUNTIF($AA$1:AA392,AA392)=1,1,0))</f>
        <v>0</v>
      </c>
      <c r="AC392" t="str">
        <f>IF(AB392=1,COUNTIF($AB$1:AB392,1),"")</f>
        <v/>
      </c>
    </row>
    <row r="393" spans="27:29" x14ac:dyDescent="0.25">
      <c r="AA393">
        <f>'5'!C199</f>
        <v>0</v>
      </c>
      <c r="AB393">
        <f>IF(AA393="",0,IF(COUNTIF($AA$1:AA393,AA393)=1,1,0))</f>
        <v>0</v>
      </c>
      <c r="AC393" t="str">
        <f>IF(AB393=1,COUNTIF($AB$1:AB393,1),"")</f>
        <v/>
      </c>
    </row>
    <row r="394" spans="27:29" x14ac:dyDescent="0.25">
      <c r="AA394">
        <f>'5'!C200</f>
        <v>0</v>
      </c>
      <c r="AB394">
        <f>IF(AA394="",0,IF(COUNTIF($AA$1:AA394,AA394)=1,1,0))</f>
        <v>0</v>
      </c>
      <c r="AC394" t="str">
        <f>IF(AB394=1,COUNTIF($AB$1:AB394,1),"")</f>
        <v/>
      </c>
    </row>
    <row r="395" spans="27:29" x14ac:dyDescent="0.25">
      <c r="AA395">
        <f>'5'!C201</f>
        <v>0</v>
      </c>
      <c r="AB395">
        <f>IF(AA395="",0,IF(COUNTIF($AA$1:AA395,AA395)=1,1,0))</f>
        <v>0</v>
      </c>
      <c r="AC395" t="str">
        <f>IF(AB395=1,COUNTIF($AB$1:AB395,1),"")</f>
        <v/>
      </c>
    </row>
    <row r="396" spans="27:29" x14ac:dyDescent="0.25">
      <c r="AA396">
        <f>'5'!C202</f>
        <v>0</v>
      </c>
      <c r="AB396">
        <f>IF(AA396="",0,IF(COUNTIF($AA$1:AA396,AA396)=1,1,0))</f>
        <v>0</v>
      </c>
      <c r="AC396" t="str">
        <f>IF(AB396=1,COUNTIF($AB$1:AB396,1),"")</f>
        <v/>
      </c>
    </row>
    <row r="397" spans="27:29" x14ac:dyDescent="0.25">
      <c r="AA397">
        <f>'5'!C203</f>
        <v>0</v>
      </c>
      <c r="AB397">
        <f>IF(AA397="",0,IF(COUNTIF($AA$1:AA397,AA397)=1,1,0))</f>
        <v>0</v>
      </c>
      <c r="AC397" t="str">
        <f>IF(AB397=1,COUNTIF($AB$1:AB397,1),"")</f>
        <v/>
      </c>
    </row>
    <row r="398" spans="27:29" x14ac:dyDescent="0.25">
      <c r="AA398">
        <f>'5'!C204</f>
        <v>0</v>
      </c>
      <c r="AB398">
        <f>IF(AA398="",0,IF(COUNTIF($AA$1:AA398,AA398)=1,1,0))</f>
        <v>0</v>
      </c>
      <c r="AC398" t="str">
        <f>IF(AB398=1,COUNTIF($AB$1:AB398,1),"")</f>
        <v/>
      </c>
    </row>
    <row r="399" spans="27:29" x14ac:dyDescent="0.25">
      <c r="AA399">
        <f>'5'!C205</f>
        <v>0</v>
      </c>
      <c r="AB399">
        <f>IF(AA399="",0,IF(COUNTIF($AA$1:AA399,AA399)=1,1,0))</f>
        <v>0</v>
      </c>
      <c r="AC399" t="str">
        <f>IF(AB399=1,COUNTIF($AB$1:AB399,1),"")</f>
        <v/>
      </c>
    </row>
    <row r="400" spans="27:29" x14ac:dyDescent="0.25">
      <c r="AA400">
        <f>'5'!C206</f>
        <v>0</v>
      </c>
      <c r="AB400">
        <f>IF(AA400="",0,IF(COUNTIF($AA$1:AA400,AA400)=1,1,0))</f>
        <v>0</v>
      </c>
      <c r="AC400" t="str">
        <f>IF(AB400=1,COUNTIF($AB$1:AB400,1),"")</f>
        <v/>
      </c>
    </row>
  </sheetData>
  <autoFilter ref="A3:N203" xr:uid="{00000000-0009-0000-0000-000007000000}"/>
  <sortState xmlns:xlrd2="http://schemas.microsoft.com/office/spreadsheetml/2017/richdata2" ref="A4:N400">
    <sortCondition ref="N3:N400"/>
  </sortState>
  <mergeCells count="2">
    <mergeCell ref="A1:N1"/>
    <mergeCell ref="A2:N2"/>
  </mergeCells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387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N3" sqref="N1:N1048576"/>
    </sheetView>
  </sheetViews>
  <sheetFormatPr defaultColWidth="8.7109375" defaultRowHeight="15" x14ac:dyDescent="0.25"/>
  <cols>
    <col min="1" max="1" width="28" customWidth="1"/>
    <col min="2" max="2" width="24" customWidth="1"/>
    <col min="3" max="3" width="8" customWidth="1"/>
    <col min="4" max="4" width="10" customWidth="1"/>
    <col min="5" max="5" width="8" customWidth="1"/>
    <col min="6" max="6" width="10" customWidth="1"/>
    <col min="7" max="7" width="8" customWidth="1"/>
    <col min="8" max="8" width="10" customWidth="1"/>
    <col min="9" max="9" width="8" customWidth="1"/>
    <col min="10" max="10" width="10" customWidth="1"/>
    <col min="11" max="11" width="8" customWidth="1"/>
    <col min="12" max="14" width="10" customWidth="1"/>
    <col min="27" max="29" width="13" hidden="1" customWidth="1"/>
  </cols>
  <sheetData>
    <row r="1" spans="1:29" ht="18" customHeight="1" x14ac:dyDescent="0.25">
      <c r="A1" s="42" t="s">
        <v>157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AA1" t="str">
        <f>Baarn!C43</f>
        <v>Benjamin van der Sar</v>
      </c>
      <c r="AB1">
        <f>IF(AA1="",0,IF(COUNTIF($AA$1:AA1,AA1)=1,1,0))</f>
        <v>1</v>
      </c>
      <c r="AC1">
        <f>IF(AB1=1,COUNTIF($AB$1:AB1,1),"")</f>
        <v>1</v>
      </c>
    </row>
    <row r="2" spans="1:29" x14ac:dyDescent="0.25">
      <c r="A2" s="43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AA2" t="str">
        <f>Baarn!C44</f>
        <v>Stijn van Twiller</v>
      </c>
      <c r="AB2">
        <f>IF(AA2="",0,IF(COUNTIF($AA$1:AA2,AA2)=1,1,0))</f>
        <v>1</v>
      </c>
      <c r="AC2">
        <f>IF(AB2=1,COUNTIF($AB$1:AB2,1),"")</f>
        <v>2</v>
      </c>
    </row>
    <row r="3" spans="1:29" ht="30" customHeight="1" x14ac:dyDescent="0.25">
      <c r="A3" s="23" t="s">
        <v>27</v>
      </c>
      <c r="B3" s="23" t="s">
        <v>29</v>
      </c>
      <c r="C3" s="23" t="s">
        <v>146</v>
      </c>
      <c r="D3" s="23" t="s">
        <v>147</v>
      </c>
      <c r="E3" s="23" t="s">
        <v>148</v>
      </c>
      <c r="F3" s="23" t="s">
        <v>149</v>
      </c>
      <c r="G3" s="35" t="s">
        <v>307</v>
      </c>
      <c r="H3" s="23" t="s">
        <v>150</v>
      </c>
      <c r="I3" s="23" t="s">
        <v>151</v>
      </c>
      <c r="J3" s="23" t="s">
        <v>152</v>
      </c>
      <c r="K3" s="23" t="s">
        <v>153</v>
      </c>
      <c r="L3" s="23" t="s">
        <v>154</v>
      </c>
      <c r="M3" s="23" t="s">
        <v>155</v>
      </c>
      <c r="N3" s="23" t="s">
        <v>25</v>
      </c>
      <c r="AA3" t="str">
        <f>Baarn!C45</f>
        <v>Rens van Middelaar</v>
      </c>
      <c r="AB3">
        <f>IF(AA3="",0,IF(COUNTIF($AA$1:AA3,AA3)=1,1,0))</f>
        <v>1</v>
      </c>
      <c r="AC3">
        <f>IF(AB3=1,COUNTIF($AB$1:AB3,1),"")</f>
        <v>3</v>
      </c>
    </row>
    <row r="4" spans="1:29" x14ac:dyDescent="0.25">
      <c r="A4" s="13" t="str">
        <f>IFERROR(INDEX($AA$1:$AA$387,MATCH(9,$AC$1:$AC$387,0)),"")</f>
        <v>Owen Chenault</v>
      </c>
      <c r="B4" s="13" t="str">
        <f>IF($A4="","",IF(IFERROR(INDEX(Baarn!$F$43:$F$129,MATCH($A4,Baarn!$C$43:$C$129,0)),"")&lt;&gt;"",IFERROR(INDEX(Baarn!$F$43:$F$129,MATCH($A4,Baarn!$C$43:$C$129,0)),""),IF(IFERROR(INDEX(Scherpenzeel!$F$210:$F$309,MATCH($A4,Scherpenzeel!$C$210:$C$309,0)),"")&lt;&gt;"",IFERROR(INDEX(Scherpenzeel!$F$210:$F$309,MATCH($A4,Scherpenzeel!$C$210:$C$309,0)),""),IF(IFERROR(INDEX('4'!$F$210:$F$309,MATCH($A4,'4'!$C$210:$C$309,0)),"")&lt;&gt;"",IFERROR(INDEX('4'!$F$210:$F$309,MATCH($A4,'4'!$C$210:$C$309,0)),""),IFERROR(INDEX('5'!$F$210:$F$309,MATCH($A4,'5'!$C$210:$C$309,0)),"")))))</f>
        <v>JEGG – SKIL – DJR (WV De Jonge Renner)</v>
      </c>
      <c r="C4" s="24" t="str">
        <f>""</f>
        <v/>
      </c>
      <c r="D4" s="15">
        <f>0</f>
        <v>0</v>
      </c>
      <c r="E4" s="24" t="str">
        <f>IF($A4="","",IFERROR(INDEX(Baarn!$A$43:$A$129,MATCH($A4,Baarn!$C$43:$C$129,0)),""))</f>
        <v/>
      </c>
      <c r="F4" s="15">
        <f>IF($A4="",0,IFERROR(INDEX(Baarn!$I$43:$I$129,MATCH($A4,Baarn!$C$43:$C$129,0)),0))</f>
        <v>0</v>
      </c>
      <c r="G4" s="24">
        <f>IF($A4="","",IFERROR(INDEX(Scherpenzeel!$A$210:$A$309,MATCH($A4,Scherpenzeel!$C$210:$C$309,0)),""))</f>
        <v>1</v>
      </c>
      <c r="H4" s="15">
        <f>IF($A4="",0,IFERROR(INDEX(Scherpenzeel!$I$210:$I$309,MATCH($A4,Scherpenzeel!$C$210:$C$309,0)),0))</f>
        <v>100.1</v>
      </c>
      <c r="I4" s="24" t="str">
        <f>IF($A4="","",IFERROR(INDEX('4'!$A$210:$A$309,MATCH($A4,'4'!$C$210:$C$309,0)),""))</f>
        <v/>
      </c>
      <c r="J4" s="15">
        <f>IF($A4="",0,IFERROR(INDEX('4'!$I$210:$I$309,MATCH($A4,'4'!$C$210:$C$309,0)),0))</f>
        <v>0</v>
      </c>
      <c r="K4" s="24" t="str">
        <f>IF($A4="","",IFERROR(INDEX('5'!$A$210:$A$309,MATCH($A4,'5'!$C$210:$C$309,0)),""))</f>
        <v/>
      </c>
      <c r="L4" s="15">
        <f>IF($A4="",0,IFERROR(INDEX('5'!$I$210:$I$309,MATCH($A4,'5'!$C$210:$C$309,0)),0))</f>
        <v>0</v>
      </c>
      <c r="M4" s="25">
        <f>IF($A4="","",D4+F4+H4+J4+L4)</f>
        <v>100.1</v>
      </c>
      <c r="N4" s="26">
        <f>IF(OR($A4="",M4="",M4=0),"",RANK(M4,$M$4:$M$203,0))</f>
        <v>1</v>
      </c>
      <c r="AA4" t="str">
        <f>Baarn!C46</f>
        <v>Stijn Beekman</v>
      </c>
      <c r="AB4">
        <f>IF(AA4="",0,IF(COUNTIF($AA$1:AA4,AA4)=1,1,0))</f>
        <v>1</v>
      </c>
      <c r="AC4">
        <f>IF(AB4=1,COUNTIF($AB$1:AB4,1),"")</f>
        <v>4</v>
      </c>
    </row>
    <row r="5" spans="1:29" x14ac:dyDescent="0.25">
      <c r="A5" s="13" t="str">
        <f>IFERROR(INDEX($AA$1:$AA$387,MATCH(2,$AC$1:$AC$387,0)),"")</f>
        <v>Stijn van Twiller</v>
      </c>
      <c r="B5" s="13" t="str">
        <f>IF($A5="","",IF(IFERROR(INDEX(Baarn!$F$43:$F$129,MATCH($A5,Baarn!$C$43:$C$129,0)),"")&lt;&gt;"",IFERROR(INDEX(Baarn!$F$43:$F$129,MATCH($A5,Baarn!$C$43:$C$129,0)),""),IF(IFERROR(INDEX(Scherpenzeel!$F$210:$F$309,MATCH($A5,Scherpenzeel!$C$210:$C$309,0)),"")&lt;&gt;"",IFERROR(INDEX(Scherpenzeel!$F$210:$F$309,MATCH($A5,Scherpenzeel!$C$210:$C$309,0)),""),IF(IFERROR(INDEX('4'!$F$210:$F$309,MATCH($A5,'4'!$C$210:$C$309,0)),"")&lt;&gt;"",IFERROR(INDEX('4'!$F$210:$F$309,MATCH($A5,'4'!$C$210:$C$309,0)),""),IFERROR(INDEX('5'!$F$210:$F$309,MATCH($A5,'5'!$C$210:$C$309,0)),"")))))</f>
        <v>W.V. Eemland</v>
      </c>
      <c r="C5" s="24" t="str">
        <f>""</f>
        <v/>
      </c>
      <c r="D5" s="15">
        <f>0</f>
        <v>0</v>
      </c>
      <c r="E5" s="24">
        <f>IF($A5="","",IFERROR(INDEX(Baarn!$A$43:$A$129,MATCH($A5,Baarn!$C$43:$C$129,0)),""))</f>
        <v>2</v>
      </c>
      <c r="F5" s="15">
        <f>IF($A5="",0,IFERROR(INDEX(Baarn!$I$43:$I$129,MATCH($A5,Baarn!$C$43:$C$129,0)),0))</f>
        <v>25</v>
      </c>
      <c r="G5" s="24">
        <f>IF($A5="","",IFERROR(INDEX(Scherpenzeel!$A$210:$A$309,MATCH($A5,Scherpenzeel!$C$210:$C$309,0)),""))</f>
        <v>7</v>
      </c>
      <c r="H5" s="15">
        <f>IF($A5="",0,IFERROR(INDEX(Scherpenzeel!$I$210:$I$309,MATCH($A5,Scherpenzeel!$C$210:$C$309,0)),0))</f>
        <v>66</v>
      </c>
      <c r="I5" s="24" t="str">
        <f>IF($A5="","",IFERROR(INDEX('4'!$A$210:$A$309,MATCH($A5,'4'!$C$210:$C$309,0)),""))</f>
        <v/>
      </c>
      <c r="J5" s="15">
        <f>IF($A5="",0,IFERROR(INDEX('4'!$I$210:$I$309,MATCH($A5,'4'!$C$210:$C$309,0)),0))</f>
        <v>0</v>
      </c>
      <c r="K5" s="24" t="str">
        <f>IF($A5="","",IFERROR(INDEX('5'!$A$210:$A$309,MATCH($A5,'5'!$C$210:$C$309,0)),""))</f>
        <v/>
      </c>
      <c r="L5" s="15">
        <f>IF($A5="",0,IFERROR(INDEX('5'!$I$210:$I$309,MATCH($A5,'5'!$C$210:$C$309,0)),0))</f>
        <v>0</v>
      </c>
      <c r="M5" s="25">
        <f>IF($A5="","",D5+F5+H5+J5+L5)</f>
        <v>91</v>
      </c>
      <c r="N5" s="26">
        <f>IF(OR($A5="",M5="",M5=0),"",RANK(M5,$M$4:$M$203,0))</f>
        <v>2</v>
      </c>
      <c r="AA5" t="str">
        <f>Baarn!C47</f>
        <v>Quinten van putten</v>
      </c>
      <c r="AB5">
        <f>IF(AA5="",0,IF(COUNTIF($AA$1:AA5,AA5)=1,1,0))</f>
        <v>1</v>
      </c>
      <c r="AC5">
        <f>IF(AB5=1,COUNTIF($AB$1:AB5,1),"")</f>
        <v>5</v>
      </c>
    </row>
    <row r="6" spans="1:29" x14ac:dyDescent="0.25">
      <c r="A6" s="13" t="str">
        <f>IFERROR(INDEX($AA$1:$AA$387,MATCH(10,$AC$1:$AC$387,0)),"")</f>
        <v>Finn Klaus</v>
      </c>
      <c r="B6" s="13" t="str">
        <f>IF($A6="","",IF(IFERROR(INDEX(Baarn!$F$43:$F$129,MATCH($A6,Baarn!$C$43:$C$129,0)),"")&lt;&gt;"",IFERROR(INDEX(Baarn!$F$43:$F$129,MATCH($A6,Baarn!$C$43:$C$129,0)),""),IF(IFERROR(INDEX(Scherpenzeel!$F$210:$F$309,MATCH($A6,Scherpenzeel!$C$210:$C$309,0)),"")&lt;&gt;"",IFERROR(INDEX(Scherpenzeel!$F$210:$F$309,MATCH($A6,Scherpenzeel!$C$210:$C$309,0)),""),IF(IFERROR(INDEX('4'!$F$210:$F$309,MATCH($A6,'4'!$C$210:$C$309,0)),"")&lt;&gt;"",IFERROR(INDEX('4'!$F$210:$F$309,MATCH($A6,'4'!$C$210:$C$309,0)),""),IFERROR(INDEX('5'!$F$210:$F$309,MATCH($A6,'5'!$C$210:$C$309,0)),"")))))</f>
        <v>JEGG – SKIL – DJR (WV De Jonge Renner)</v>
      </c>
      <c r="C6" s="24" t="str">
        <f>""</f>
        <v/>
      </c>
      <c r="D6" s="15">
        <f>0</f>
        <v>0</v>
      </c>
      <c r="E6" s="24" t="str">
        <f>IF($A6="","",IFERROR(INDEX(Baarn!$A$43:$A$129,MATCH($A6,Baarn!$C$43:$C$129,0)),""))</f>
        <v/>
      </c>
      <c r="F6" s="15">
        <f>IF($A6="",0,IFERROR(INDEX(Baarn!$I$43:$I$129,MATCH($A6,Baarn!$C$43:$C$129,0)),0))</f>
        <v>0</v>
      </c>
      <c r="G6" s="24">
        <f>IF($A6="","",IFERROR(INDEX(Scherpenzeel!$A$210:$A$309,MATCH($A6,Scherpenzeel!$C$210:$C$309,0)),""))</f>
        <v>2</v>
      </c>
      <c r="H6" s="15">
        <f>IF($A6="",0,IFERROR(INDEX(Scherpenzeel!$I$210:$I$309,MATCH($A6,Scherpenzeel!$C$210:$C$309,0)),0))</f>
        <v>90</v>
      </c>
      <c r="I6" s="24" t="str">
        <f>IF($A6="","",IFERROR(INDEX('4'!$A$210:$A$309,MATCH($A6,'4'!$C$210:$C$309,0)),""))</f>
        <v/>
      </c>
      <c r="J6" s="15">
        <f>IF($A6="",0,IFERROR(INDEX('4'!$I$210:$I$309,MATCH($A6,'4'!$C$210:$C$309,0)),0))</f>
        <v>0</v>
      </c>
      <c r="K6" s="24" t="str">
        <f>IF($A6="","",IFERROR(INDEX('5'!$A$210:$A$309,MATCH($A6,'5'!$C$210:$C$309,0)),""))</f>
        <v/>
      </c>
      <c r="L6" s="15">
        <f>IF($A6="",0,IFERROR(INDEX('5'!$I$210:$I$309,MATCH($A6,'5'!$C$210:$C$309,0)),0))</f>
        <v>0</v>
      </c>
      <c r="M6" s="25">
        <f>IF($A6="","",D6+F6+H6+J6+L6)</f>
        <v>90</v>
      </c>
      <c r="N6" s="26">
        <f>IF(OR($A6="",M6="",M6=0),"",RANK(M6,$M$4:$M$203,0))</f>
        <v>3</v>
      </c>
      <c r="AA6" t="str">
        <f>Baarn!C48</f>
        <v>Jirt Brinkman</v>
      </c>
      <c r="AB6">
        <f>IF(AA6="",0,IF(COUNTIF($AA$1:AA6,AA6)=1,1,0))</f>
        <v>1</v>
      </c>
      <c r="AC6">
        <f>IF(AB6=1,COUNTIF($AB$1:AB6,1),"")</f>
        <v>6</v>
      </c>
    </row>
    <row r="7" spans="1:29" x14ac:dyDescent="0.25">
      <c r="A7" s="13" t="str">
        <f>IFERROR(INDEX($AA$1:$AA$387,MATCH(11,$AC$1:$AC$387,0)),"")</f>
        <v>Milan Docter</v>
      </c>
      <c r="B7" s="13" t="str">
        <f>IF($A7="","",IF(IFERROR(INDEX(Baarn!$F$43:$F$129,MATCH($A7,Baarn!$C$43:$C$129,0)),"")&lt;&gt;"",IFERROR(INDEX(Baarn!$F$43:$F$129,MATCH($A7,Baarn!$C$43:$C$129,0)),""),IF(IFERROR(INDEX(Scherpenzeel!$F$210:$F$309,MATCH($A7,Scherpenzeel!$C$210:$C$309,0)),"")&lt;&gt;"",IFERROR(INDEX(Scherpenzeel!$F$210:$F$309,MATCH($A7,Scherpenzeel!$C$210:$C$309,0)),""),IF(IFERROR(INDEX('4'!$F$210:$F$309,MATCH($A7,'4'!$C$210:$C$309,0)),"")&lt;&gt;"",IFERROR(INDEX('4'!$F$210:$F$309,MATCH($A7,'4'!$C$210:$C$309,0)),""),IFERROR(INDEX('5'!$F$210:$F$309,MATCH($A7,'5'!$C$210:$C$309,0)),"")))))</f>
        <v>ATB vereniging Oldebroek</v>
      </c>
      <c r="C7" s="24" t="str">
        <f>""</f>
        <v/>
      </c>
      <c r="D7" s="15">
        <f>0</f>
        <v>0</v>
      </c>
      <c r="E7" s="24" t="str">
        <f>IF($A7="","",IFERROR(INDEX(Baarn!$A$43:$A$129,MATCH($A7,Baarn!$C$43:$C$129,0)),""))</f>
        <v/>
      </c>
      <c r="F7" s="15">
        <f>IF($A7="",0,IFERROR(INDEX(Baarn!$I$43:$I$129,MATCH($A7,Baarn!$C$43:$C$129,0)),0))</f>
        <v>0</v>
      </c>
      <c r="G7" s="24">
        <f>IF($A7="","",IFERROR(INDEX(Scherpenzeel!$A$210:$A$309,MATCH($A7,Scherpenzeel!$C$210:$C$309,0)),""))</f>
        <v>3</v>
      </c>
      <c r="H7" s="15">
        <f>IF($A7="",0,IFERROR(INDEX(Scherpenzeel!$I$210:$I$309,MATCH($A7,Scherpenzeel!$C$210:$C$309,0)),0))</f>
        <v>85</v>
      </c>
      <c r="I7" s="24" t="str">
        <f>IF($A7="","",IFERROR(INDEX('4'!$A$210:$A$309,MATCH($A7,'4'!$C$210:$C$309,0)),""))</f>
        <v/>
      </c>
      <c r="J7" s="15">
        <f>IF($A7="",0,IFERROR(INDEX('4'!$I$210:$I$309,MATCH($A7,'4'!$C$210:$C$309,0)),0))</f>
        <v>0</v>
      </c>
      <c r="K7" s="24" t="str">
        <f>IF($A7="","",IFERROR(INDEX('5'!$A$210:$A$309,MATCH($A7,'5'!$C$210:$C$309,0)),""))</f>
        <v/>
      </c>
      <c r="L7" s="15">
        <f>IF($A7="",0,IFERROR(INDEX('5'!$I$210:$I$309,MATCH($A7,'5'!$C$210:$C$309,0)),0))</f>
        <v>0</v>
      </c>
      <c r="M7" s="25">
        <f>IF($A7="","",D7+F7+H7+J7+L7)</f>
        <v>85</v>
      </c>
      <c r="N7" s="26">
        <f>IF(OR($A7="",M7="",M7=0),"",RANK(M7,$M$4:$M$203,0))</f>
        <v>4</v>
      </c>
      <c r="AA7" t="str">
        <f>Baarn!C49</f>
        <v>Abe van Laar</v>
      </c>
      <c r="AB7">
        <f>IF(AA7="",0,IF(COUNTIF($AA$1:AA7,AA7)=1,1,0))</f>
        <v>1</v>
      </c>
      <c r="AC7">
        <f>IF(AB7=1,COUNTIF($AB$1:AB7,1),"")</f>
        <v>7</v>
      </c>
    </row>
    <row r="8" spans="1:29" x14ac:dyDescent="0.25">
      <c r="A8" s="13" t="str">
        <f>IFERROR(INDEX($AA$1:$AA$387,MATCH(12,$AC$1:$AC$387,0)),"")</f>
        <v>Nick Snippe</v>
      </c>
      <c r="B8" s="13" t="str">
        <f>IF($A8="","",IF(IFERROR(INDEX(Baarn!$F$43:$F$129,MATCH($A8,Baarn!$C$43:$C$129,0)),"")&lt;&gt;"",IFERROR(INDEX(Baarn!$F$43:$F$129,MATCH($A8,Baarn!$C$43:$C$129,0)),""),IF(IFERROR(INDEX(Scherpenzeel!$F$210:$F$309,MATCH($A8,Scherpenzeel!$C$210:$C$309,0)),"")&lt;&gt;"",IFERROR(INDEX(Scherpenzeel!$F$210:$F$309,MATCH($A8,Scherpenzeel!$C$210:$C$309,0)),""),IF(IFERROR(INDEX('4'!$F$210:$F$309,MATCH($A8,'4'!$C$210:$C$309,0)),"")&lt;&gt;"",IFERROR(INDEX('4'!$F$210:$F$309,MATCH($A8,'4'!$C$210:$C$309,0)),""),IFERROR(INDEX('5'!$F$210:$F$309,MATCH($A8,'5'!$C$210:$C$309,0)),"")))))</f>
        <v>W.V. Meteoor Assen-Roden</v>
      </c>
      <c r="C8" s="24" t="str">
        <f>""</f>
        <v/>
      </c>
      <c r="D8" s="15">
        <f>0</f>
        <v>0</v>
      </c>
      <c r="E8" s="24" t="str">
        <f>IF($A8="","",IFERROR(INDEX(Baarn!$A$43:$A$129,MATCH($A8,Baarn!$C$43:$C$129,0)),""))</f>
        <v/>
      </c>
      <c r="F8" s="15">
        <f>IF($A8="",0,IFERROR(INDEX(Baarn!$I$43:$I$129,MATCH($A8,Baarn!$C$43:$C$129,0)),0))</f>
        <v>0</v>
      </c>
      <c r="G8" s="24">
        <f>IF($A8="","",IFERROR(INDEX(Scherpenzeel!$A$210:$A$309,MATCH($A8,Scherpenzeel!$C$210:$C$309,0)),""))</f>
        <v>4</v>
      </c>
      <c r="H8" s="15">
        <f>IF($A8="",0,IFERROR(INDEX(Scherpenzeel!$I$210:$I$309,MATCH($A8,Scherpenzeel!$C$210:$C$309,0)),0))</f>
        <v>80</v>
      </c>
      <c r="I8" s="24" t="str">
        <f>IF($A8="","",IFERROR(INDEX('4'!$A$210:$A$309,MATCH($A8,'4'!$C$210:$C$309,0)),""))</f>
        <v/>
      </c>
      <c r="J8" s="15">
        <f>IF($A8="",0,IFERROR(INDEX('4'!$I$210:$I$309,MATCH($A8,'4'!$C$210:$C$309,0)),0))</f>
        <v>0</v>
      </c>
      <c r="K8" s="24" t="str">
        <f>IF($A8="","",IFERROR(INDEX('5'!$A$210:$A$309,MATCH($A8,'5'!$C$210:$C$309,0)),""))</f>
        <v/>
      </c>
      <c r="L8" s="15">
        <f>IF($A8="",0,IFERROR(INDEX('5'!$I$210:$I$309,MATCH($A8,'5'!$C$210:$C$309,0)),0))</f>
        <v>0</v>
      </c>
      <c r="M8" s="25">
        <f>IF($A8="","",D8+F8+H8+J8+L8)</f>
        <v>80</v>
      </c>
      <c r="N8" s="26">
        <f>IF(OR($A8="",M8="",M8=0),"",RANK(M8,$M$4:$M$203,0))</f>
        <v>5</v>
      </c>
      <c r="AA8">
        <f>Baarn!C50</f>
        <v>0</v>
      </c>
      <c r="AB8">
        <f>IF(AA8="",0,IF(COUNTIF($AA$1:AA8,AA8)=1,1,0))</f>
        <v>1</v>
      </c>
      <c r="AC8">
        <f>IF(AB8=1,COUNTIF($AB$1:AB8,1),"")</f>
        <v>8</v>
      </c>
    </row>
    <row r="9" spans="1:29" x14ac:dyDescent="0.25">
      <c r="A9" s="13" t="str">
        <f>IFERROR(INDEX($AA$1:$AA$387,MATCH(3,$AC$1:$AC$387,0)),"")</f>
        <v>Rens van Middelaar</v>
      </c>
      <c r="B9" s="13" t="str">
        <f>IF($A9="","",IF(IFERROR(INDEX(Baarn!$F$43:$F$129,MATCH($A9,Baarn!$C$43:$C$129,0)),"")&lt;&gt;"",IFERROR(INDEX(Baarn!$F$43:$F$129,MATCH($A9,Baarn!$C$43:$C$129,0)),""),IF(IFERROR(INDEX(Scherpenzeel!$F$210:$F$309,MATCH($A9,Scherpenzeel!$C$210:$C$309,0)),"")&lt;&gt;"",IFERROR(INDEX(Scherpenzeel!$F$210:$F$309,MATCH($A9,Scherpenzeel!$C$210:$C$309,0)),""),IF(IFERROR(INDEX('4'!$F$210:$F$309,MATCH($A9,'4'!$C$210:$C$309,0)),"")&lt;&gt;"",IFERROR(INDEX('4'!$F$210:$F$309,MATCH($A9,'4'!$C$210:$C$309,0)),""),IFERROR(INDEX('5'!$F$210:$F$309,MATCH($A9,'5'!$C$210:$C$309,0)),"")))))</f>
        <v>W.V. Eemland</v>
      </c>
      <c r="C9" s="24" t="str">
        <f>""</f>
        <v/>
      </c>
      <c r="D9" s="15">
        <f>0</f>
        <v>0</v>
      </c>
      <c r="E9" s="24">
        <f>IF($A9="","",IFERROR(INDEX(Baarn!$A$43:$A$129,MATCH($A9,Baarn!$C$43:$C$129,0)),""))</f>
        <v>3</v>
      </c>
      <c r="F9" s="15">
        <f>IF($A9="",0,IFERROR(INDEX(Baarn!$I$43:$I$129,MATCH($A9,Baarn!$C$43:$C$129,0)),0))</f>
        <v>20</v>
      </c>
      <c r="G9" s="24">
        <f>IF($A9="","",IFERROR(INDEX(Scherpenzeel!$A$210:$A$309,MATCH($A9,Scherpenzeel!$C$210:$C$309,0)),""))</f>
        <v>9</v>
      </c>
      <c r="H9" s="15">
        <f>IF($A9="",0,IFERROR(INDEX(Scherpenzeel!$I$210:$I$309,MATCH($A9,Scherpenzeel!$C$210:$C$309,0)),0))</f>
        <v>58</v>
      </c>
      <c r="I9" s="24" t="str">
        <f>IF($A9="","",IFERROR(INDEX('4'!$A$210:$A$309,MATCH($A9,'4'!$C$210:$C$309,0)),""))</f>
        <v/>
      </c>
      <c r="J9" s="15">
        <f>IF($A9="",0,IFERROR(INDEX('4'!$I$210:$I$309,MATCH($A9,'4'!$C$210:$C$309,0)),0))</f>
        <v>0</v>
      </c>
      <c r="K9" s="24" t="str">
        <f>IF($A9="","",IFERROR(INDEX('5'!$A$210:$A$309,MATCH($A9,'5'!$C$210:$C$309,0)),""))</f>
        <v/>
      </c>
      <c r="L9" s="15">
        <f>IF($A9="",0,IFERROR(INDEX('5'!$I$210:$I$309,MATCH($A9,'5'!$C$210:$C$309,0)),0))</f>
        <v>0</v>
      </c>
      <c r="M9" s="25">
        <f>IF($A9="","",D9+F9+H9+J9+L9)</f>
        <v>78</v>
      </c>
      <c r="N9" s="26">
        <f>IF(OR($A9="",M9="",M9=0),"",RANK(M9,$M$4:$M$203,0))</f>
        <v>6</v>
      </c>
      <c r="AA9">
        <f>Baarn!C51</f>
        <v>0</v>
      </c>
      <c r="AB9">
        <f>IF(AA9="",0,IF(COUNTIF($AA$1:AA9,AA9)=1,1,0))</f>
        <v>0</v>
      </c>
      <c r="AC9" t="str">
        <f>IF(AB9=1,COUNTIF($AB$1:AB9,1),"")</f>
        <v/>
      </c>
    </row>
    <row r="10" spans="1:29" x14ac:dyDescent="0.25">
      <c r="A10" s="13" t="str">
        <f>IFERROR(INDEX($AA$1:$AA$387,MATCH(13,$AC$1:$AC$387,0)),"")</f>
        <v>Floris Otto</v>
      </c>
      <c r="B10" s="13" t="str">
        <f>IF($A10="","",IF(IFERROR(INDEX(Baarn!$F$43:$F$129,MATCH($A10,Baarn!$C$43:$C$129,0)),"")&lt;&gt;"",IFERROR(INDEX(Baarn!$F$43:$F$129,MATCH($A10,Baarn!$C$43:$C$129,0)),""),IF(IFERROR(INDEX(Scherpenzeel!$F$210:$F$309,MATCH($A10,Scherpenzeel!$C$210:$C$309,0)),"")&lt;&gt;"",IFERROR(INDEX(Scherpenzeel!$F$210:$F$309,MATCH($A10,Scherpenzeel!$C$210:$C$309,0)),""),IF(IFERROR(INDEX('4'!$F$210:$F$309,MATCH($A10,'4'!$C$210:$C$309,0)),"")&lt;&gt;"",IFERROR(INDEX('4'!$F$210:$F$309,MATCH($A10,'4'!$C$210:$C$309,0)),""),IFERROR(INDEX('5'!$F$210:$F$309,MATCH($A10,'5'!$C$210:$C$309,0)),"")))))</f>
        <v>WTC Woerden</v>
      </c>
      <c r="C10" s="24" t="str">
        <f>""</f>
        <v/>
      </c>
      <c r="D10" s="15">
        <f>0</f>
        <v>0</v>
      </c>
      <c r="E10" s="24" t="str">
        <f>IF($A10="","",IFERROR(INDEX(Baarn!$A$43:$A$129,MATCH($A10,Baarn!$C$43:$C$129,0)),""))</f>
        <v/>
      </c>
      <c r="F10" s="15">
        <f>IF($A10="",0,IFERROR(INDEX(Baarn!$I$43:$I$129,MATCH($A10,Baarn!$C$43:$C$129,0)),0))</f>
        <v>0</v>
      </c>
      <c r="G10" s="24">
        <f>IF($A10="","",IFERROR(INDEX(Scherpenzeel!$A$210:$A$309,MATCH($A10,Scherpenzeel!$C$210:$C$309,0)),""))</f>
        <v>5</v>
      </c>
      <c r="H10" s="15">
        <f>IF($A10="",0,IFERROR(INDEX(Scherpenzeel!$I$210:$I$309,MATCH($A10,Scherpenzeel!$C$210:$C$309,0)),0))</f>
        <v>75</v>
      </c>
      <c r="I10" s="24" t="str">
        <f>IF($A10="","",IFERROR(INDEX('4'!$A$210:$A$309,MATCH($A10,'4'!$C$210:$C$309,0)),""))</f>
        <v/>
      </c>
      <c r="J10" s="15">
        <f>IF($A10="",0,IFERROR(INDEX('4'!$I$210:$I$309,MATCH($A10,'4'!$C$210:$C$309,0)),0))</f>
        <v>0</v>
      </c>
      <c r="K10" s="24" t="str">
        <f>IF($A10="","",IFERROR(INDEX('5'!$A$210:$A$309,MATCH($A10,'5'!$C$210:$C$309,0)),""))</f>
        <v/>
      </c>
      <c r="L10" s="15">
        <f>IF($A10="",0,IFERROR(INDEX('5'!$I$210:$I$309,MATCH($A10,'5'!$C$210:$C$309,0)),0))</f>
        <v>0</v>
      </c>
      <c r="M10" s="25">
        <f>IF($A10="","",D10+F10+H10+J10+L10)</f>
        <v>75</v>
      </c>
      <c r="N10" s="26">
        <f>IF(OR($A10="",M10="",M10=0),"",RANK(M10,$M$4:$M$203,0))</f>
        <v>7</v>
      </c>
      <c r="AA10">
        <f>Baarn!C52</f>
        <v>0</v>
      </c>
      <c r="AB10">
        <f>IF(AA10="",0,IF(COUNTIF($AA$1:AA10,AA10)=1,1,0))</f>
        <v>0</v>
      </c>
      <c r="AC10" t="str">
        <f>IF(AB10=1,COUNTIF($AB$1:AB10,1),"")</f>
        <v/>
      </c>
    </row>
    <row r="11" spans="1:29" x14ac:dyDescent="0.25">
      <c r="A11" s="13" t="str">
        <f>IFERROR(INDEX($AA$1:$AA$387,MATCH(1,$AC$1:$AC$387,0)),"")</f>
        <v>Benjamin van der Sar</v>
      </c>
      <c r="B11" s="13" t="str">
        <f>IF($A11="","",IF(IFERROR(INDEX(Baarn!$F$43:$F$129,MATCH($A11,Baarn!$C$43:$C$129,0)),"")&lt;&gt;"",IFERROR(INDEX(Baarn!$F$43:$F$129,MATCH($A11,Baarn!$C$43:$C$129,0)),""),IF(IFERROR(INDEX(Scherpenzeel!$F$210:$F$309,MATCH($A11,Scherpenzeel!$C$210:$C$309,0)),"")&lt;&gt;"",IFERROR(INDEX(Scherpenzeel!$F$210:$F$309,MATCH($A11,Scherpenzeel!$C$210:$C$309,0)),""),IF(IFERROR(INDEX('4'!$F$210:$F$309,MATCH($A11,'4'!$C$210:$C$309,0)),"")&lt;&gt;"",IFERROR(INDEX('4'!$F$210:$F$309,MATCH($A11,'4'!$C$210:$C$309,0)),""),IFERROR(INDEX('5'!$F$210:$F$309,MATCH($A11,'5'!$C$210:$C$309,0)),"")))))</f>
        <v>W.V. Eemland</v>
      </c>
      <c r="C11" s="24" t="str">
        <f>""</f>
        <v/>
      </c>
      <c r="D11" s="15">
        <f>0</f>
        <v>0</v>
      </c>
      <c r="E11" s="24">
        <f>IF($A11="","",IFERROR(INDEX(Baarn!$A$43:$A$129,MATCH($A11,Baarn!$C$43:$C$129,0)),""))</f>
        <v>1</v>
      </c>
      <c r="F11" s="15">
        <f>IF($A11="",0,IFERROR(INDEX(Baarn!$I$43:$I$129,MATCH($A11,Baarn!$C$43:$C$129,0)),0))</f>
        <v>30</v>
      </c>
      <c r="G11" s="24" t="str">
        <f>IF($A11="","",IFERROR(INDEX(Scherpenzeel!$A$210:$A$309,MATCH($A11,Scherpenzeel!$C$210:$C$309,0)),""))</f>
        <v>14</v>
      </c>
      <c r="H11" s="15">
        <v>41</v>
      </c>
      <c r="I11" s="24" t="str">
        <f>IF($A11="","",IFERROR(INDEX('4'!$A$210:$A$309,MATCH($A11,'4'!$C$210:$C$309,0)),""))</f>
        <v/>
      </c>
      <c r="J11" s="15">
        <f>IF($A11="",0,IFERROR(INDEX('4'!$I$210:$I$309,MATCH($A11,'4'!$C$210:$C$309,0)),0))</f>
        <v>0</v>
      </c>
      <c r="K11" s="24" t="str">
        <f>IF($A11="","",IFERROR(INDEX('5'!$A$210:$A$309,MATCH($A11,'5'!$C$210:$C$309,0)),""))</f>
        <v/>
      </c>
      <c r="L11" s="15">
        <f>IF($A11="",0,IFERROR(INDEX('5'!$I$210:$I$309,MATCH($A11,'5'!$C$210:$C$309,0)),0))</f>
        <v>0</v>
      </c>
      <c r="M11" s="25">
        <f>IF($A11="","",D11+F11+H11+J11+L11)</f>
        <v>71</v>
      </c>
      <c r="N11" s="26">
        <f>IF(OR($A11="",M11="",M11=0),"",RANK(M11,$M$4:$M$203,0))</f>
        <v>8</v>
      </c>
      <c r="AA11">
        <f>Baarn!C53</f>
        <v>0</v>
      </c>
      <c r="AB11">
        <f>IF(AA11="",0,IF(COUNTIF($AA$1:AA11,AA11)=1,1,0))</f>
        <v>0</v>
      </c>
      <c r="AC11" t="str">
        <f>IF(AB11=1,COUNTIF($AB$1:AB11,1),"")</f>
        <v/>
      </c>
    </row>
    <row r="12" spans="1:29" x14ac:dyDescent="0.25">
      <c r="A12" s="13" t="str">
        <f>IFERROR(INDEX($AA$1:$AA$387,MATCH(14,$AC$1:$AC$387,0)),"")</f>
        <v>Thomas van Dijk</v>
      </c>
      <c r="B12" s="13" t="str">
        <f>IF($A12="","",IF(IFERROR(INDEX(Baarn!$F$43:$F$129,MATCH($A12,Baarn!$C$43:$C$129,0)),"")&lt;&gt;"",IFERROR(INDEX(Baarn!$F$43:$F$129,MATCH($A12,Baarn!$C$43:$C$129,0)),""),IF(IFERROR(INDEX(Scherpenzeel!$F$210:$F$309,MATCH($A12,Scherpenzeel!$C$210:$C$309,0)),"")&lt;&gt;"",IFERROR(INDEX(Scherpenzeel!$F$210:$F$309,MATCH($A12,Scherpenzeel!$C$210:$C$309,0)),""),IF(IFERROR(INDEX('4'!$F$210:$F$309,MATCH($A12,'4'!$C$210:$C$309,0)),"")&lt;&gt;"",IFERROR(INDEX('4'!$F$210:$F$309,MATCH($A12,'4'!$C$210:$C$309,0)),""),IFERROR(INDEX('5'!$F$210:$F$309,MATCH($A12,'5'!$C$210:$C$309,0)),"")))))</f>
        <v/>
      </c>
      <c r="C12" s="24" t="str">
        <f>""</f>
        <v/>
      </c>
      <c r="D12" s="15">
        <f>0</f>
        <v>0</v>
      </c>
      <c r="E12" s="24" t="str">
        <f>IF($A12="","",IFERROR(INDEX(Baarn!$A$43:$A$129,MATCH($A12,Baarn!$C$43:$C$129,0)),""))</f>
        <v/>
      </c>
      <c r="F12" s="15">
        <f>IF($A12="",0,IFERROR(INDEX(Baarn!$I$43:$I$129,MATCH($A12,Baarn!$C$43:$C$129,0)),0))</f>
        <v>0</v>
      </c>
      <c r="G12" s="24">
        <f>IF($A12="","",IFERROR(INDEX(Scherpenzeel!$A$210:$A$309,MATCH($A12,Scherpenzeel!$C$210:$C$309,0)),""))</f>
        <v>6</v>
      </c>
      <c r="H12" s="15">
        <f>IF($A12="",0,IFERROR(INDEX(Scherpenzeel!$I$210:$I$309,MATCH($A12,Scherpenzeel!$C$210:$C$309,0)),0))</f>
        <v>70</v>
      </c>
      <c r="I12" s="24" t="str">
        <f>IF($A12="","",IFERROR(INDEX('4'!$A$210:$A$309,MATCH($A12,'4'!$C$210:$C$309,0)),""))</f>
        <v/>
      </c>
      <c r="J12" s="15">
        <f>IF($A12="",0,IFERROR(INDEX('4'!$I$210:$I$309,MATCH($A12,'4'!$C$210:$C$309,0)),0))</f>
        <v>0</v>
      </c>
      <c r="K12" s="24" t="str">
        <f>IF($A12="","",IFERROR(INDEX('5'!$A$210:$A$309,MATCH($A12,'5'!$C$210:$C$309,0)),""))</f>
        <v/>
      </c>
      <c r="L12" s="15">
        <f>IF($A12="",0,IFERROR(INDEX('5'!$I$210:$I$309,MATCH($A12,'5'!$C$210:$C$309,0)),0))</f>
        <v>0</v>
      </c>
      <c r="M12" s="25">
        <f>IF($A12="","",D12+F12+H12+J12+L12)</f>
        <v>70</v>
      </c>
      <c r="N12" s="26">
        <f>IF(OR($A12="",M12="",M12=0),"",RANK(M12,$M$4:$M$203,0))</f>
        <v>9</v>
      </c>
      <c r="AA12">
        <f>Baarn!C54</f>
        <v>0</v>
      </c>
      <c r="AB12">
        <f>IF(AA12="",0,IF(COUNTIF($AA$1:AA12,AA12)=1,1,0))</f>
        <v>0</v>
      </c>
      <c r="AC12" t="str">
        <f>IF(AB12=1,COUNTIF($AB$1:AB12,1),"")</f>
        <v/>
      </c>
    </row>
    <row r="13" spans="1:29" x14ac:dyDescent="0.25">
      <c r="A13" s="13" t="str">
        <f>IFERROR(INDEX($AA$1:$AA$387,MATCH(15,$AC$1:$AC$387,0)),"")</f>
        <v>Tim Hommersom</v>
      </c>
      <c r="B13" s="13" t="str">
        <f>IF($A13="","",IF(IFERROR(INDEX(Baarn!$F$43:$F$129,MATCH($A13,Baarn!$C$43:$C$129,0)),"")&lt;&gt;"",IFERROR(INDEX(Baarn!$F$43:$F$129,MATCH($A13,Baarn!$C$43:$C$129,0)),""),IF(IFERROR(INDEX(Scherpenzeel!$F$210:$F$309,MATCH($A13,Scherpenzeel!$C$210:$C$309,0)),"")&lt;&gt;"",IFERROR(INDEX(Scherpenzeel!$F$210:$F$309,MATCH($A13,Scherpenzeel!$C$210:$C$309,0)),""),IF(IFERROR(INDEX('4'!$F$210:$F$309,MATCH($A13,'4'!$C$210:$C$309,0)),"")&lt;&gt;"",IFERROR(INDEX('4'!$F$210:$F$309,MATCH($A13,'4'!$C$210:$C$309,0)),""),IFERROR(INDEX('5'!$F$210:$F$309,MATCH($A13,'5'!$C$210:$C$309,0)),"")))))</f>
        <v>W.V. Eemland</v>
      </c>
      <c r="C13" s="24" t="str">
        <f>""</f>
        <v/>
      </c>
      <c r="D13" s="15">
        <f>0</f>
        <v>0</v>
      </c>
      <c r="E13" s="24" t="str">
        <f>IF($A13="","",IFERROR(INDEX(Baarn!$A$43:$A$129,MATCH($A13,Baarn!$C$43:$C$129,0)),""))</f>
        <v/>
      </c>
      <c r="F13" s="15">
        <f>IF($A13="",0,IFERROR(INDEX(Baarn!$I$43:$I$129,MATCH($A13,Baarn!$C$43:$C$129,0)),0))</f>
        <v>0</v>
      </c>
      <c r="G13" s="24">
        <f>IF($A13="","",IFERROR(INDEX(Scherpenzeel!$A$210:$A$309,MATCH($A13,Scherpenzeel!$C$210:$C$309,0)),""))</f>
        <v>8</v>
      </c>
      <c r="H13" s="15">
        <f>IF($A13="",0,IFERROR(INDEX(Scherpenzeel!$I$210:$I$309,MATCH($A13,Scherpenzeel!$C$210:$C$309,0)),0))</f>
        <v>62</v>
      </c>
      <c r="I13" s="24" t="str">
        <f>IF($A13="","",IFERROR(INDEX('4'!$A$210:$A$309,MATCH($A13,'4'!$C$210:$C$309,0)),""))</f>
        <v/>
      </c>
      <c r="J13" s="15">
        <f>IF($A13="",0,IFERROR(INDEX('4'!$I$210:$I$309,MATCH($A13,'4'!$C$210:$C$309,0)),0))</f>
        <v>0</v>
      </c>
      <c r="K13" s="24" t="str">
        <f>IF($A13="","",IFERROR(INDEX('5'!$A$210:$A$309,MATCH($A13,'5'!$C$210:$C$309,0)),""))</f>
        <v/>
      </c>
      <c r="L13" s="15">
        <f>IF($A13="",0,IFERROR(INDEX('5'!$I$210:$I$309,MATCH($A13,'5'!$C$210:$C$309,0)),0))</f>
        <v>0</v>
      </c>
      <c r="M13" s="25">
        <f>IF($A13="","",D13+F13+H13+J13+L13)</f>
        <v>62</v>
      </c>
      <c r="N13" s="26">
        <f>IF(OR($A13="",M13="",M13=0),"",RANK(M13,$M$4:$M$203,0))</f>
        <v>10</v>
      </c>
      <c r="AA13">
        <f>Baarn!C55</f>
        <v>0</v>
      </c>
      <c r="AB13">
        <f>IF(AA13="",0,IF(COUNTIF($AA$1:AA13,AA13)=1,1,0))</f>
        <v>0</v>
      </c>
      <c r="AC13" t="str">
        <f>IF(AB13=1,COUNTIF($AB$1:AB13,1),"")</f>
        <v/>
      </c>
    </row>
    <row r="14" spans="1:29" x14ac:dyDescent="0.25">
      <c r="A14" s="13" t="str">
        <f>IFERROR(INDEX($AA$1:$AA$387,MATCH(16,$AC$1:$AC$387,0)),"")</f>
        <v>Pim Molenaar</v>
      </c>
      <c r="B14" s="13" t="str">
        <f>IF($A14="","",IF(IFERROR(INDEX(Baarn!$F$43:$F$129,MATCH($A14,Baarn!$C$43:$C$129,0)),"")&lt;&gt;"",IFERROR(INDEX(Baarn!$F$43:$F$129,MATCH($A14,Baarn!$C$43:$C$129,0)),""),IF(IFERROR(INDEX(Scherpenzeel!$F$210:$F$309,MATCH($A14,Scherpenzeel!$C$210:$C$309,0)),"")&lt;&gt;"",IFERROR(INDEX(Scherpenzeel!$F$210:$F$309,MATCH($A14,Scherpenzeel!$C$210:$C$309,0)),""),IF(IFERROR(INDEX('4'!$F$210:$F$309,MATCH($A14,'4'!$C$210:$C$309,0)),"")&lt;&gt;"",IFERROR(INDEX('4'!$F$210:$F$309,MATCH($A14,'4'!$C$210:$C$309,0)),""),IFERROR(INDEX('5'!$F$210:$F$309,MATCH($A14,'5'!$C$210:$C$309,0)),"")))))</f>
        <v>Hoornse Ren en Toerclub</v>
      </c>
      <c r="C14" s="24" t="str">
        <f>""</f>
        <v/>
      </c>
      <c r="D14" s="15">
        <f>0</f>
        <v>0</v>
      </c>
      <c r="E14" s="24" t="str">
        <f>IF($A14="","",IFERROR(INDEX(Baarn!$A$43:$A$129,MATCH($A14,Baarn!$C$43:$C$129,0)),""))</f>
        <v/>
      </c>
      <c r="F14" s="15">
        <f>IF($A14="",0,IFERROR(INDEX(Baarn!$I$43:$I$129,MATCH($A14,Baarn!$C$43:$C$129,0)),0))</f>
        <v>0</v>
      </c>
      <c r="G14" s="24">
        <f>IF($A14="","",IFERROR(INDEX(Scherpenzeel!$A$210:$A$309,MATCH($A14,Scherpenzeel!$C$210:$C$309,0)),""))</f>
        <v>10</v>
      </c>
      <c r="H14" s="15">
        <f>IF($A14="",0,IFERROR(INDEX(Scherpenzeel!$I$210:$I$309,MATCH($A14,Scherpenzeel!$C$210:$C$309,0)),0))</f>
        <v>54</v>
      </c>
      <c r="I14" s="24" t="str">
        <f>IF($A14="","",IFERROR(INDEX('4'!$A$210:$A$309,MATCH($A14,'4'!$C$210:$C$309,0)),""))</f>
        <v/>
      </c>
      <c r="J14" s="15">
        <f>IF($A14="",0,IFERROR(INDEX('4'!$I$210:$I$309,MATCH($A14,'4'!$C$210:$C$309,0)),0))</f>
        <v>0</v>
      </c>
      <c r="K14" s="24" t="str">
        <f>IF($A14="","",IFERROR(INDEX('5'!$A$210:$A$309,MATCH($A14,'5'!$C$210:$C$309,0)),""))</f>
        <v/>
      </c>
      <c r="L14" s="15">
        <f>IF($A14="",0,IFERROR(INDEX('5'!$I$210:$I$309,MATCH($A14,'5'!$C$210:$C$309,0)),0))</f>
        <v>0</v>
      </c>
      <c r="M14" s="25">
        <f>IF($A14="","",D14+F14+H14+J14+L14)</f>
        <v>54</v>
      </c>
      <c r="N14" s="26">
        <f>IF(OR($A14="",M14="",M14=0),"",RANK(M14,$M$4:$M$203,0))</f>
        <v>11</v>
      </c>
      <c r="AA14">
        <f>Baarn!C56</f>
        <v>0</v>
      </c>
      <c r="AB14">
        <f>IF(AA14="",0,IF(COUNTIF($AA$1:AA14,AA14)=1,1,0))</f>
        <v>0</v>
      </c>
      <c r="AC14" t="str">
        <f>IF(AB14=1,COUNTIF($AB$1:AB14,1),"")</f>
        <v/>
      </c>
    </row>
    <row r="15" spans="1:29" x14ac:dyDescent="0.25">
      <c r="A15" s="13" t="str">
        <f>IFERROR(INDEX($AA$1:$AA$387,MATCH(17,$AC$1:$AC$387,0)),"")</f>
        <v>Levi van der Kaa</v>
      </c>
      <c r="B15" s="13" t="str">
        <f>IF($A15="","",IF(IFERROR(INDEX(Baarn!$F$43:$F$129,MATCH($A15,Baarn!$C$43:$C$129,0)),"")&lt;&gt;"",IFERROR(INDEX(Baarn!$F$43:$F$129,MATCH($A15,Baarn!$C$43:$C$129,0)),""),IF(IFERROR(INDEX(Scherpenzeel!$F$210:$F$309,MATCH($A15,Scherpenzeel!$C$210:$C$309,0)),"")&lt;&gt;"",IFERROR(INDEX(Scherpenzeel!$F$210:$F$309,MATCH($A15,Scherpenzeel!$C$210:$C$309,0)),""),IF(IFERROR(INDEX('4'!$F$210:$F$309,MATCH($A15,'4'!$C$210:$C$309,0)),"")&lt;&gt;"",IFERROR(INDEX('4'!$F$210:$F$309,MATCH($A15,'4'!$C$210:$C$309,0)),""),IFERROR(INDEX('5'!$F$210:$F$309,MATCH($A15,'5'!$C$210:$C$309,0)),"")))))</f>
        <v>JEGG – SKIL – DJR (WV De Jonge Renner)</v>
      </c>
      <c r="C15" s="24" t="str">
        <f>""</f>
        <v/>
      </c>
      <c r="D15" s="15">
        <f>0</f>
        <v>0</v>
      </c>
      <c r="E15" s="24" t="str">
        <f>IF($A15="","",IFERROR(INDEX(Baarn!$A$43:$A$129,MATCH($A15,Baarn!$C$43:$C$129,0)),""))</f>
        <v/>
      </c>
      <c r="F15" s="15">
        <f>IF($A15="",0,IFERROR(INDEX(Baarn!$I$43:$I$129,MATCH($A15,Baarn!$C$43:$C$129,0)),0))</f>
        <v>0</v>
      </c>
      <c r="G15" s="24">
        <f>IF($A15="","",IFERROR(INDEX(Scherpenzeel!$A$210:$A$309,MATCH($A15,Scherpenzeel!$C$210:$C$309,0)),""))</f>
        <v>11</v>
      </c>
      <c r="H15" s="15">
        <f>IF($A15="",0,IFERROR(INDEX(Scherpenzeel!$I$210:$I$309,MATCH($A15,Scherpenzeel!$C$210:$C$309,0)),0))</f>
        <v>50</v>
      </c>
      <c r="I15" s="24" t="str">
        <f>IF($A15="","",IFERROR(INDEX('4'!$A$210:$A$309,MATCH($A15,'4'!$C$210:$C$309,0)),""))</f>
        <v/>
      </c>
      <c r="J15" s="15">
        <f>IF($A15="",0,IFERROR(INDEX('4'!$I$210:$I$309,MATCH($A15,'4'!$C$210:$C$309,0)),0))</f>
        <v>0</v>
      </c>
      <c r="K15" s="24" t="str">
        <f>IF($A15="","",IFERROR(INDEX('5'!$A$210:$A$309,MATCH($A15,'5'!$C$210:$C$309,0)),""))</f>
        <v/>
      </c>
      <c r="L15" s="15">
        <f>IF($A15="",0,IFERROR(INDEX('5'!$I$210:$I$309,MATCH($A15,'5'!$C$210:$C$309,0)),0))</f>
        <v>0</v>
      </c>
      <c r="M15" s="25">
        <f>IF($A15="","",D15+F15+H15+J15+L15)</f>
        <v>50</v>
      </c>
      <c r="N15" s="26">
        <f>IF(OR($A15="",M15="",M15=0),"",RANK(M15,$M$4:$M$203,0))</f>
        <v>12</v>
      </c>
      <c r="AA15">
        <f>Baarn!C57</f>
        <v>0</v>
      </c>
      <c r="AB15">
        <f>IF(AA15="",0,IF(COUNTIF($AA$1:AA15,AA15)=1,1,0))</f>
        <v>0</v>
      </c>
      <c r="AC15" t="str">
        <f>IF(AB15=1,COUNTIF($AB$1:AB15,1),"")</f>
        <v/>
      </c>
    </row>
    <row r="16" spans="1:29" x14ac:dyDescent="0.25">
      <c r="A16" s="13" t="str">
        <f>IFERROR(INDEX($AA$1:$AA$387,MATCH(18,$AC$1:$AC$387,0)),"")</f>
        <v>Floris Kuiper</v>
      </c>
      <c r="B16" s="13" t="str">
        <f>IF($A16="","",IF(IFERROR(INDEX(Baarn!$F$43:$F$129,MATCH($A16,Baarn!$C$43:$C$129,0)),"")&lt;&gt;"",IFERROR(INDEX(Baarn!$F$43:$F$129,MATCH($A16,Baarn!$C$43:$C$129,0)),""),IF(IFERROR(INDEX(Scherpenzeel!$F$210:$F$309,MATCH($A16,Scherpenzeel!$C$210:$C$309,0)),"")&lt;&gt;"",IFERROR(INDEX(Scherpenzeel!$F$210:$F$309,MATCH($A16,Scherpenzeel!$C$210:$C$309,0)),""),IF(IFERROR(INDEX('4'!$F$210:$F$309,MATCH($A16,'4'!$C$210:$C$309,0)),"")&lt;&gt;"",IFERROR(INDEX('4'!$F$210:$F$309,MATCH($A16,'4'!$C$210:$C$309,0)),""),IFERROR(INDEX('5'!$F$210:$F$309,MATCH($A16,'5'!$C$210:$C$309,0)),"")))))</f>
        <v>AWV de Zwaluwen</v>
      </c>
      <c r="C16" s="24" t="str">
        <f>""</f>
        <v/>
      </c>
      <c r="D16" s="15">
        <f>0</f>
        <v>0</v>
      </c>
      <c r="E16" s="24" t="str">
        <f>IF($A16="","",IFERROR(INDEX(Baarn!$A$43:$A$129,MATCH($A16,Baarn!$C$43:$C$129,0)),""))</f>
        <v/>
      </c>
      <c r="F16" s="15">
        <f>IF($A16="",0,IFERROR(INDEX(Baarn!$I$43:$I$129,MATCH($A16,Baarn!$C$43:$C$129,0)),0))</f>
        <v>0</v>
      </c>
      <c r="G16" s="24">
        <f>IF($A16="","",IFERROR(INDEX(Scherpenzeel!$A$210:$A$309,MATCH($A16,Scherpenzeel!$C$210:$C$309,0)),""))</f>
        <v>12</v>
      </c>
      <c r="H16" s="15">
        <f>IF($A16="",0,IFERROR(INDEX(Scherpenzeel!$I$210:$I$309,MATCH($A16,Scherpenzeel!$C$210:$C$309,0)),0))</f>
        <v>47</v>
      </c>
      <c r="I16" s="24" t="str">
        <f>IF($A16="","",IFERROR(INDEX('4'!$A$210:$A$309,MATCH($A16,'4'!$C$210:$C$309,0)),""))</f>
        <v/>
      </c>
      <c r="J16" s="15">
        <f>IF($A16="",0,IFERROR(INDEX('4'!$I$210:$I$309,MATCH($A16,'4'!$C$210:$C$309,0)),0))</f>
        <v>0</v>
      </c>
      <c r="K16" s="24" t="str">
        <f>IF($A16="","",IFERROR(INDEX('5'!$A$210:$A$309,MATCH($A16,'5'!$C$210:$C$309,0)),""))</f>
        <v/>
      </c>
      <c r="L16" s="15">
        <f>IF($A16="",0,IFERROR(INDEX('5'!$I$210:$I$309,MATCH($A16,'5'!$C$210:$C$309,0)),0))</f>
        <v>0</v>
      </c>
      <c r="M16" s="25">
        <f>IF($A16="","",D16+F16+H16+J16+L16)</f>
        <v>47</v>
      </c>
      <c r="N16" s="26">
        <f>IF(OR($A16="",M16="",M16=0),"",RANK(M16,$M$4:$M$203,0))</f>
        <v>13</v>
      </c>
      <c r="AA16">
        <f>Baarn!C58</f>
        <v>0</v>
      </c>
      <c r="AB16">
        <f>IF(AA16="",0,IF(COUNTIF($AA$1:AA16,AA16)=1,1,0))</f>
        <v>0</v>
      </c>
      <c r="AC16" t="str">
        <f>IF(AB16=1,COUNTIF($AB$1:AB16,1),"")</f>
        <v/>
      </c>
    </row>
    <row r="17" spans="1:29" x14ac:dyDescent="0.25">
      <c r="A17" s="13" t="str">
        <f>IFERROR(INDEX($AA$1:$AA$387,MATCH(19,$AC$1:$AC$387,0)),"")</f>
        <v>Jochem ter Weel</v>
      </c>
      <c r="B17" s="13" t="str">
        <f>IF($A17="","",IF(IFERROR(INDEX(Baarn!$F$43:$F$129,MATCH($A17,Baarn!$C$43:$C$129,0)),"")&lt;&gt;"",IFERROR(INDEX(Baarn!$F$43:$F$129,MATCH($A17,Baarn!$C$43:$C$129,0)),""),IF(IFERROR(INDEX(Scherpenzeel!$F$210:$F$309,MATCH($A17,Scherpenzeel!$C$210:$C$309,0)),"")&lt;&gt;"",IFERROR(INDEX(Scherpenzeel!$F$210:$F$309,MATCH($A17,Scherpenzeel!$C$210:$C$309,0)),""),IF(IFERROR(INDEX('4'!$F$210:$F$309,MATCH($A17,'4'!$C$210:$C$309,0)),"")&lt;&gt;"",IFERROR(INDEX('4'!$F$210:$F$309,MATCH($A17,'4'!$C$210:$C$309,0)),""),IFERROR(INDEX('5'!$F$210:$F$309,MATCH($A17,'5'!$C$210:$C$309,0)),"")))))</f>
        <v>AWV de Zwaluwen</v>
      </c>
      <c r="C17" s="24" t="str">
        <f>""</f>
        <v/>
      </c>
      <c r="D17" s="15">
        <f>0</f>
        <v>0</v>
      </c>
      <c r="E17" s="24" t="str">
        <f>IF($A17="","",IFERROR(INDEX(Baarn!$A$43:$A$129,MATCH($A17,Baarn!$C$43:$C$129,0)),""))</f>
        <v/>
      </c>
      <c r="F17" s="15">
        <f>IF($A17="",0,IFERROR(INDEX(Baarn!$I$43:$I$129,MATCH($A17,Baarn!$C$43:$C$129,0)),0))</f>
        <v>0</v>
      </c>
      <c r="G17" s="24">
        <f>IF($A17="","",IFERROR(INDEX(Scherpenzeel!$A$210:$A$309,MATCH($A17,Scherpenzeel!$C$210:$C$309,0)),""))</f>
        <v>13</v>
      </c>
      <c r="H17" s="15">
        <f>IF($A17="",0,IFERROR(INDEX(Scherpenzeel!$I$210:$I$309,MATCH($A17,Scherpenzeel!$C$210:$C$309,0)),0))</f>
        <v>44</v>
      </c>
      <c r="I17" s="24" t="str">
        <f>IF($A17="","",IFERROR(INDEX('4'!$A$210:$A$309,MATCH($A17,'4'!$C$210:$C$309,0)),""))</f>
        <v/>
      </c>
      <c r="J17" s="15">
        <f>IF($A17="",0,IFERROR(INDEX('4'!$I$210:$I$309,MATCH($A17,'4'!$C$210:$C$309,0)),0))</f>
        <v>0</v>
      </c>
      <c r="K17" s="24" t="str">
        <f>IF($A17="","",IFERROR(INDEX('5'!$A$210:$A$309,MATCH($A17,'5'!$C$210:$C$309,0)),""))</f>
        <v/>
      </c>
      <c r="L17" s="15">
        <f>IF($A17="",0,IFERROR(INDEX('5'!$I$210:$I$309,MATCH($A17,'5'!$C$210:$C$309,0)),0))</f>
        <v>0</v>
      </c>
      <c r="M17" s="25">
        <f>IF($A17="","",D17+F17+H17+J17+L17)</f>
        <v>44</v>
      </c>
      <c r="N17" s="26">
        <f>IF(OR($A17="",M17="",M17=0),"",RANK(M17,$M$4:$M$203,0))</f>
        <v>14</v>
      </c>
      <c r="AA17">
        <f>Baarn!C59</f>
        <v>0</v>
      </c>
      <c r="AB17">
        <f>IF(AA17="",0,IF(COUNTIF($AA$1:AA17,AA17)=1,1,0))</f>
        <v>0</v>
      </c>
      <c r="AC17" t="str">
        <f>IF(AB17=1,COUNTIF($AB$1:AB17,1),"")</f>
        <v/>
      </c>
    </row>
    <row r="18" spans="1:29" x14ac:dyDescent="0.25">
      <c r="A18" s="13" t="str">
        <f>IFERROR(INDEX($AA$1:$AA$387,MATCH(20,$AC$1:$AC$387,0)),"")</f>
        <v>Federico Talen</v>
      </c>
      <c r="B18" s="13" t="str">
        <f>IF($A18="","",IF(IFERROR(INDEX(Baarn!$F$43:$F$129,MATCH($A18,Baarn!$C$43:$C$129,0)),"")&lt;&gt;"",IFERROR(INDEX(Baarn!$F$43:$F$129,MATCH($A18,Baarn!$C$43:$C$129,0)),""),IF(IFERROR(INDEX(Scherpenzeel!$F$210:$F$309,MATCH($A18,Scherpenzeel!$C$210:$C$309,0)),"")&lt;&gt;"",IFERROR(INDEX(Scherpenzeel!$F$210:$F$309,MATCH($A18,Scherpenzeel!$C$210:$C$309,0)),""),IF(IFERROR(INDEX('4'!$F$210:$F$309,MATCH($A18,'4'!$C$210:$C$309,0)),"")&lt;&gt;"",IFERROR(INDEX('4'!$F$210:$F$309,MATCH($A18,'4'!$C$210:$C$309,0)),""),IFERROR(INDEX('5'!$F$210:$F$309,MATCH($A18,'5'!$C$210:$C$309,0)),"")))))</f>
        <v>W.V. Eemland</v>
      </c>
      <c r="C18" s="24" t="str">
        <f>""</f>
        <v/>
      </c>
      <c r="D18" s="15">
        <f>0</f>
        <v>0</v>
      </c>
      <c r="E18" s="24" t="str">
        <f>IF($A18="","",IFERROR(INDEX(Baarn!$A$43:$A$129,MATCH($A18,Baarn!$C$43:$C$129,0)),""))</f>
        <v/>
      </c>
      <c r="F18" s="15">
        <f>IF($A18="",0,IFERROR(INDEX(Baarn!$I$43:$I$129,MATCH($A18,Baarn!$C$43:$C$129,0)),0))</f>
        <v>0</v>
      </c>
      <c r="G18" s="24" t="str">
        <f>IF($A18="","",IFERROR(INDEX(Scherpenzeel!$A$210:$A$309,MATCH($A18,Scherpenzeel!$C$210:$C$309,0)),""))</f>
        <v>15</v>
      </c>
      <c r="H18" s="15">
        <v>38</v>
      </c>
      <c r="I18" s="24" t="str">
        <f>IF($A18="","",IFERROR(INDEX('4'!$A$210:$A$309,MATCH($A18,'4'!$C$210:$C$309,0)),""))</f>
        <v/>
      </c>
      <c r="J18" s="15">
        <f>IF($A18="",0,IFERROR(INDEX('4'!$I$210:$I$309,MATCH($A18,'4'!$C$210:$C$309,0)),0))</f>
        <v>0</v>
      </c>
      <c r="K18" s="24" t="str">
        <f>IF($A18="","",IFERROR(INDEX('5'!$A$210:$A$309,MATCH($A18,'5'!$C$210:$C$309,0)),""))</f>
        <v/>
      </c>
      <c r="L18" s="15">
        <f>IF($A18="",0,IFERROR(INDEX('5'!$I$210:$I$309,MATCH($A18,'5'!$C$210:$C$309,0)),0))</f>
        <v>0</v>
      </c>
      <c r="M18" s="25">
        <f>IF($A18="","",D18+F18+H18+J18+L18)</f>
        <v>38</v>
      </c>
      <c r="N18" s="26">
        <f>IF(OR($A18="",M18="",M18=0),"",RANK(M18,$M$4:$M$203,0))</f>
        <v>15</v>
      </c>
      <c r="AA18">
        <f>Baarn!C60</f>
        <v>0</v>
      </c>
      <c r="AB18">
        <f>IF(AA18="",0,IF(COUNTIF($AA$1:AA18,AA18)=1,1,0))</f>
        <v>0</v>
      </c>
      <c r="AC18" t="str">
        <f>IF(AB18=1,COUNTIF($AB$1:AB18,1),"")</f>
        <v/>
      </c>
    </row>
    <row r="19" spans="1:29" x14ac:dyDescent="0.25">
      <c r="A19" s="13" t="str">
        <f>IFERROR(INDEX($AA$1:$AA$387,MATCH(4,$AC$1:$AC$387,0)),"")</f>
        <v>Stijn Beekman</v>
      </c>
      <c r="B19" s="13" t="str">
        <f>IF($A19="","",IF(IFERROR(INDEX(Baarn!$F$43:$F$129,MATCH($A19,Baarn!$C$43:$C$129,0)),"")&lt;&gt;"",IFERROR(INDEX(Baarn!$F$43:$F$129,MATCH($A19,Baarn!$C$43:$C$129,0)),""),IF(IFERROR(INDEX(Scherpenzeel!$F$210:$F$309,MATCH($A19,Scherpenzeel!$C$210:$C$309,0)),"")&lt;&gt;"",IFERROR(INDEX(Scherpenzeel!$F$210:$F$309,MATCH($A19,Scherpenzeel!$C$210:$C$309,0)),""),IF(IFERROR(INDEX('4'!$F$210:$F$309,MATCH($A19,'4'!$C$210:$C$309,0)),"")&lt;&gt;"",IFERROR(INDEX('4'!$F$210:$F$309,MATCH($A19,'4'!$C$210:$C$309,0)),""),IFERROR(INDEX('5'!$F$210:$F$309,MATCH($A19,'5'!$C$210:$C$309,0)),"")))))</f>
        <v>GWC de Adelaar</v>
      </c>
      <c r="C19" s="24" t="str">
        <f>""</f>
        <v/>
      </c>
      <c r="D19" s="15">
        <f>0</f>
        <v>0</v>
      </c>
      <c r="E19" s="24">
        <f>IF($A19="","",IFERROR(INDEX(Baarn!$A$43:$A$129,MATCH($A19,Baarn!$C$43:$C$129,0)),""))</f>
        <v>4</v>
      </c>
      <c r="F19" s="15">
        <f>IF($A19="",0,IFERROR(INDEX(Baarn!$I$43:$I$129,MATCH($A19,Baarn!$C$43:$C$129,0)),0))</f>
        <v>17</v>
      </c>
      <c r="G19" s="24" t="str">
        <f>IF($A19="","",IFERROR(INDEX(Scherpenzeel!$A$210:$A$309,MATCH($A19,Scherpenzeel!$C$210:$C$309,0)),""))</f>
        <v/>
      </c>
      <c r="H19" s="15">
        <f>IF($A19="",0,IFERROR(INDEX(Scherpenzeel!$I$210:$I$309,MATCH($A19,Scherpenzeel!$C$210:$C$309,0)),0))</f>
        <v>0</v>
      </c>
      <c r="I19" s="24" t="str">
        <f>IF($A19="","",IFERROR(INDEX('4'!$A$210:$A$309,MATCH($A19,'4'!$C$210:$C$309,0)),""))</f>
        <v/>
      </c>
      <c r="J19" s="15">
        <f>IF($A19="",0,IFERROR(INDEX('4'!$I$210:$I$309,MATCH($A19,'4'!$C$210:$C$309,0)),0))</f>
        <v>0</v>
      </c>
      <c r="K19" s="24" t="str">
        <f>IF($A19="","",IFERROR(INDEX('5'!$A$210:$A$309,MATCH($A19,'5'!$C$210:$C$309,0)),""))</f>
        <v/>
      </c>
      <c r="L19" s="15">
        <f>IF($A19="",0,IFERROR(INDEX('5'!$I$210:$I$309,MATCH($A19,'5'!$C$210:$C$309,0)),0))</f>
        <v>0</v>
      </c>
      <c r="M19" s="25">
        <f>IF($A19="","",D19+F19+H19+J19+L19)</f>
        <v>17</v>
      </c>
      <c r="N19" s="26">
        <f>IF(OR($A19="",M19="",M19=0),"",RANK(M19,$M$4:$M$203,0))</f>
        <v>16</v>
      </c>
      <c r="AA19">
        <f>Baarn!C61</f>
        <v>0</v>
      </c>
      <c r="AB19">
        <f>IF(AA19="",0,IF(COUNTIF($AA$1:AA19,AA19)=1,1,0))</f>
        <v>0</v>
      </c>
      <c r="AC19" t="str">
        <f>IF(AB19=1,COUNTIF($AB$1:AB19,1),"")</f>
        <v/>
      </c>
    </row>
    <row r="20" spans="1:29" x14ac:dyDescent="0.25">
      <c r="A20" s="13" t="str">
        <f>IFERROR(INDEX($AA$1:$AA$387,MATCH(5,$AC$1:$AC$387,0)),"")</f>
        <v>Quinten van putten</v>
      </c>
      <c r="B20" s="13" t="str">
        <f>IF($A20="","",IF(IFERROR(INDEX(Baarn!$F$43:$F$129,MATCH($A20,Baarn!$C$43:$C$129,0)),"")&lt;&gt;"",IFERROR(INDEX(Baarn!$F$43:$F$129,MATCH($A20,Baarn!$C$43:$C$129,0)),""),IF(IFERROR(INDEX(Scherpenzeel!$F$210:$F$309,MATCH($A20,Scherpenzeel!$C$210:$C$309,0)),"")&lt;&gt;"",IFERROR(INDEX(Scherpenzeel!$F$210:$F$309,MATCH($A20,Scherpenzeel!$C$210:$C$309,0)),""),IF(IFERROR(INDEX('4'!$F$210:$F$309,MATCH($A20,'4'!$C$210:$C$309,0)),"")&lt;&gt;"",IFERROR(INDEX('4'!$F$210:$F$309,MATCH($A20,'4'!$C$210:$C$309,0)),""),IFERROR(INDEX('5'!$F$210:$F$309,MATCH($A20,'5'!$C$210:$C$309,0)),"")))))</f>
        <v>W.V. Eemland</v>
      </c>
      <c r="C20" s="24" t="str">
        <f>""</f>
        <v/>
      </c>
      <c r="D20" s="15">
        <f>0</f>
        <v>0</v>
      </c>
      <c r="E20" s="24">
        <f>IF($A20="","",IFERROR(INDEX(Baarn!$A$43:$A$129,MATCH($A20,Baarn!$C$43:$C$129,0)),""))</f>
        <v>5</v>
      </c>
      <c r="F20" s="15">
        <f>IF($A20="",0,IFERROR(INDEX(Baarn!$I$43:$I$129,MATCH($A20,Baarn!$C$43:$C$129,0)),0))</f>
        <v>14</v>
      </c>
      <c r="G20" s="24" t="str">
        <f>IF($A20="","",IFERROR(INDEX(Scherpenzeel!$A$210:$A$309,MATCH($A20,Scherpenzeel!$C$210:$C$309,0)),""))</f>
        <v/>
      </c>
      <c r="H20" s="15">
        <f>IF($A20="",0,IFERROR(INDEX(Scherpenzeel!$I$210:$I$309,MATCH($A20,Scherpenzeel!$C$210:$C$309,0)),0))</f>
        <v>0</v>
      </c>
      <c r="I20" s="24" t="str">
        <f>IF($A20="","",IFERROR(INDEX('4'!$A$210:$A$309,MATCH($A20,'4'!$C$210:$C$309,0)),""))</f>
        <v/>
      </c>
      <c r="J20" s="15">
        <f>IF($A20="",0,IFERROR(INDEX('4'!$I$210:$I$309,MATCH($A20,'4'!$C$210:$C$309,0)),0))</f>
        <v>0</v>
      </c>
      <c r="K20" s="24" t="str">
        <f>IF($A20="","",IFERROR(INDEX('5'!$A$210:$A$309,MATCH($A20,'5'!$C$210:$C$309,0)),""))</f>
        <v/>
      </c>
      <c r="L20" s="15">
        <f>IF($A20="",0,IFERROR(INDEX('5'!$I$210:$I$309,MATCH($A20,'5'!$C$210:$C$309,0)),0))</f>
        <v>0</v>
      </c>
      <c r="M20" s="25">
        <f>IF($A20="","",D20+F20+H20+J20+L20)</f>
        <v>14</v>
      </c>
      <c r="N20" s="26">
        <f>IF(OR($A20="",M20="",M20=0),"",RANK(M20,$M$4:$M$203,0))</f>
        <v>17</v>
      </c>
      <c r="AA20">
        <f>Baarn!C62</f>
        <v>0</v>
      </c>
      <c r="AB20">
        <f>IF(AA20="",0,IF(COUNTIF($AA$1:AA20,AA20)=1,1,0))</f>
        <v>0</v>
      </c>
      <c r="AC20" t="str">
        <f>IF(AB20=1,COUNTIF($AB$1:AB20,1),"")</f>
        <v/>
      </c>
    </row>
    <row r="21" spans="1:29" x14ac:dyDescent="0.25">
      <c r="A21" s="13" t="str">
        <f>IFERROR(INDEX($AA$1:$AA$387,MATCH(6,$AC$1:$AC$387,0)),"")</f>
        <v>Jirt Brinkman</v>
      </c>
      <c r="B21" s="13" t="str">
        <f>IF($A21="","",IF(IFERROR(INDEX(Baarn!$F$43:$F$129,MATCH($A21,Baarn!$C$43:$C$129,0)),"")&lt;&gt;"",IFERROR(INDEX(Baarn!$F$43:$F$129,MATCH($A21,Baarn!$C$43:$C$129,0)),""),IF(IFERROR(INDEX(Scherpenzeel!$F$210:$F$309,MATCH($A21,Scherpenzeel!$C$210:$C$309,0)),"")&lt;&gt;"",IFERROR(INDEX(Scherpenzeel!$F$210:$F$309,MATCH($A21,Scherpenzeel!$C$210:$C$309,0)),""),IF(IFERROR(INDEX('4'!$F$210:$F$309,MATCH($A21,'4'!$C$210:$C$309,0)),"")&lt;&gt;"",IFERROR(INDEX('4'!$F$210:$F$309,MATCH($A21,'4'!$C$210:$C$309,0)),""),IFERROR(INDEX('5'!$F$210:$F$309,MATCH($A21,'5'!$C$210:$C$309,0)),"")))))</f>
        <v>W.V. Eemland</v>
      </c>
      <c r="C21" s="24" t="str">
        <f>""</f>
        <v/>
      </c>
      <c r="D21" s="15">
        <f>0</f>
        <v>0</v>
      </c>
      <c r="E21" s="24">
        <f>IF($A21="","",IFERROR(INDEX(Baarn!$A$43:$A$129,MATCH($A21,Baarn!$C$43:$C$129,0)),""))</f>
        <v>6</v>
      </c>
      <c r="F21" s="15">
        <f>IF($A21="",0,IFERROR(INDEX(Baarn!$I$43:$I$129,MATCH($A21,Baarn!$C$43:$C$129,0)),0))</f>
        <v>12</v>
      </c>
      <c r="G21" s="24" t="str">
        <f>IF($A21="","",IFERROR(INDEX(Scherpenzeel!$A$210:$A$309,MATCH($A21,Scherpenzeel!$C$210:$C$309,0)),""))</f>
        <v/>
      </c>
      <c r="H21" s="15">
        <f>IF($A21="",0,IFERROR(INDEX(Scherpenzeel!$I$210:$I$309,MATCH($A21,Scherpenzeel!$C$210:$C$309,0)),0))</f>
        <v>0</v>
      </c>
      <c r="I21" s="24" t="str">
        <f>IF($A21="","",IFERROR(INDEX('4'!$A$210:$A$309,MATCH($A21,'4'!$C$210:$C$309,0)),""))</f>
        <v/>
      </c>
      <c r="J21" s="15">
        <f>IF($A21="",0,IFERROR(INDEX('4'!$I$210:$I$309,MATCH($A21,'4'!$C$210:$C$309,0)),0))</f>
        <v>0</v>
      </c>
      <c r="K21" s="24" t="str">
        <f>IF($A21="","",IFERROR(INDEX('5'!$A$210:$A$309,MATCH($A21,'5'!$C$210:$C$309,0)),""))</f>
        <v/>
      </c>
      <c r="L21" s="15">
        <f>IF($A21="",0,IFERROR(INDEX('5'!$I$210:$I$309,MATCH($A21,'5'!$C$210:$C$309,0)),0))</f>
        <v>0</v>
      </c>
      <c r="M21" s="25">
        <f>IF($A21="","",D21+F21+H21+J21+L21)</f>
        <v>12</v>
      </c>
      <c r="N21" s="26">
        <f>IF(OR($A21="",M21="",M21=0),"",RANK(M21,$M$4:$M$203,0))</f>
        <v>18</v>
      </c>
      <c r="AA21">
        <f>Baarn!C63</f>
        <v>0</v>
      </c>
      <c r="AB21">
        <f>IF(AA21="",0,IF(COUNTIF($AA$1:AA21,AA21)=1,1,0))</f>
        <v>0</v>
      </c>
      <c r="AC21" t="str">
        <f>IF(AB21=1,COUNTIF($AB$1:AB21,1),"")</f>
        <v/>
      </c>
    </row>
    <row r="22" spans="1:29" x14ac:dyDescent="0.25">
      <c r="A22" s="13" t="str">
        <f>IFERROR(INDEX($AA$1:$AA$387,MATCH(7,$AC$1:$AC$387,0)),"")</f>
        <v>Abe van Laar</v>
      </c>
      <c r="B22" s="13" t="str">
        <f>IF($A22="","",IF(IFERROR(INDEX(Baarn!$F$43:$F$129,MATCH($A22,Baarn!$C$43:$C$129,0)),"")&lt;&gt;"",IFERROR(INDEX(Baarn!$F$43:$F$129,MATCH($A22,Baarn!$C$43:$C$129,0)),""),IF(IFERROR(INDEX(Scherpenzeel!$F$210:$F$309,MATCH($A22,Scherpenzeel!$C$210:$C$309,0)),"")&lt;&gt;"",IFERROR(INDEX(Scherpenzeel!$F$210:$F$309,MATCH($A22,Scherpenzeel!$C$210:$C$309,0)),""),IF(IFERROR(INDEX('4'!$F$210:$F$309,MATCH($A22,'4'!$C$210:$C$309,0)),"")&lt;&gt;"",IFERROR(INDEX('4'!$F$210:$F$309,MATCH($A22,'4'!$C$210:$C$309,0)),""),IFERROR(INDEX('5'!$F$210:$F$309,MATCH($A22,'5'!$C$210:$C$309,0)),"")))))</f>
        <v>RETO</v>
      </c>
      <c r="C22" s="24" t="str">
        <f>""</f>
        <v/>
      </c>
      <c r="D22" s="15">
        <f>0</f>
        <v>0</v>
      </c>
      <c r="E22" s="24" t="str">
        <f>IF($A22="","",IFERROR(INDEX(Baarn!$A$43:$A$129,MATCH($A22,Baarn!$C$43:$C$129,0)),""))</f>
        <v>DNF</v>
      </c>
      <c r="F22" s="15">
        <f>IF($A22="",0,IFERROR(INDEX(Baarn!$I$43:$I$129,MATCH($A22,Baarn!$C$43:$C$129,0)),0))</f>
        <v>1</v>
      </c>
      <c r="G22" s="24" t="str">
        <f>IF($A22="","",IFERROR(INDEX(Scherpenzeel!$A$210:$A$309,MATCH($A22,Scherpenzeel!$C$210:$C$309,0)),""))</f>
        <v/>
      </c>
      <c r="H22" s="15">
        <f>IF($A22="",0,IFERROR(INDEX(Scherpenzeel!$I$210:$I$309,MATCH($A22,Scherpenzeel!$C$210:$C$309,0)),0))</f>
        <v>0</v>
      </c>
      <c r="I22" s="24" t="str">
        <f>IF($A22="","",IFERROR(INDEX('4'!$A$210:$A$309,MATCH($A22,'4'!$C$210:$C$309,0)),""))</f>
        <v/>
      </c>
      <c r="J22" s="15">
        <f>IF($A22="",0,IFERROR(INDEX('4'!$I$210:$I$309,MATCH($A22,'4'!$C$210:$C$309,0)),0))</f>
        <v>0</v>
      </c>
      <c r="K22" s="24" t="str">
        <f>IF($A22="","",IFERROR(INDEX('5'!$A$210:$A$309,MATCH($A22,'5'!$C$210:$C$309,0)),""))</f>
        <v/>
      </c>
      <c r="L22" s="15">
        <f>IF($A22="",0,IFERROR(INDEX('5'!$I$210:$I$309,MATCH($A22,'5'!$C$210:$C$309,0)),0))</f>
        <v>0</v>
      </c>
      <c r="M22" s="25">
        <f>IF($A22="","",D22+F22+H22+J22+L22)</f>
        <v>1</v>
      </c>
      <c r="N22" s="26">
        <f>IF(OR($A22="",M22="",M22=0),"",RANK(M22,$M$4:$M$203,0))</f>
        <v>19</v>
      </c>
      <c r="AA22">
        <f>Baarn!C64</f>
        <v>0</v>
      </c>
      <c r="AB22">
        <f>IF(AA22="",0,IF(COUNTIF($AA$1:AA22,AA22)=1,1,0))</f>
        <v>0</v>
      </c>
      <c r="AC22" t="str">
        <f>IF(AB22=1,COUNTIF($AB$1:AB22,1),"")</f>
        <v/>
      </c>
    </row>
    <row r="23" spans="1:29" x14ac:dyDescent="0.25">
      <c r="A23" s="13" t="str">
        <f>IFERROR(INDEX($AA$1:$AA$387,MATCH(21,$AC$1:$AC$387,0)),"")</f>
        <v>Cas de Vreede</v>
      </c>
      <c r="B23" s="13" t="str">
        <f>IF($A23="","",IF(IFERROR(INDEX(Baarn!$F$43:$F$129,MATCH($A23,Baarn!$C$43:$C$129,0)),"")&lt;&gt;"",IFERROR(INDEX(Baarn!$F$43:$F$129,MATCH($A23,Baarn!$C$43:$C$129,0)),""),IF(IFERROR(INDEX(Scherpenzeel!$F$210:$F$309,MATCH($A23,Scherpenzeel!$C$210:$C$309,0)),"")&lt;&gt;"",IFERROR(INDEX(Scherpenzeel!$F$210:$F$309,MATCH($A23,Scherpenzeel!$C$210:$C$309,0)),""),IF(IFERROR(INDEX('4'!$F$210:$F$309,MATCH($A23,'4'!$C$210:$C$309,0)),"")&lt;&gt;"",IFERROR(INDEX('4'!$F$210:$F$309,MATCH($A23,'4'!$C$210:$C$309,0)),""),IFERROR(INDEX('5'!$F$210:$F$309,MATCH($A23,'5'!$C$210:$C$309,0)),"")))))</f>
        <v>Wielerclub De Waardrenner</v>
      </c>
      <c r="C23" s="24" t="str">
        <f>""</f>
        <v/>
      </c>
      <c r="D23" s="15">
        <f>0</f>
        <v>0</v>
      </c>
      <c r="E23" s="24" t="str">
        <f>IF($A23="","",IFERROR(INDEX(Baarn!$A$43:$A$129,MATCH($A23,Baarn!$C$43:$C$129,0)),""))</f>
        <v/>
      </c>
      <c r="F23" s="15">
        <f>IF($A23="",0,IFERROR(INDEX(Baarn!$I$43:$I$129,MATCH($A23,Baarn!$C$43:$C$129,0)),0))</f>
        <v>0</v>
      </c>
      <c r="G23" s="24" t="str">
        <f>IF($A23="","",IFERROR(INDEX(Scherpenzeel!$A$210:$A$309,MATCH($A23,Scherpenzeel!$C$210:$C$309,0)),""))</f>
        <v>DNF</v>
      </c>
      <c r="H23" s="15">
        <f>IF($A23="",0,IFERROR(INDEX(Scherpenzeel!$I$210:$I$309,MATCH($A23,Scherpenzeel!$C$210:$C$309,0)),0))</f>
        <v>1</v>
      </c>
      <c r="I23" s="24" t="str">
        <f>IF($A23="","",IFERROR(INDEX('4'!$A$210:$A$309,MATCH($A23,'4'!$C$210:$C$309,0)),""))</f>
        <v/>
      </c>
      <c r="J23" s="15">
        <f>IF($A23="",0,IFERROR(INDEX('4'!$I$210:$I$309,MATCH($A23,'4'!$C$210:$C$309,0)),0))</f>
        <v>0</v>
      </c>
      <c r="K23" s="24" t="str">
        <f>IF($A23="","",IFERROR(INDEX('5'!$A$210:$A$309,MATCH($A23,'5'!$C$210:$C$309,0)),""))</f>
        <v/>
      </c>
      <c r="L23" s="15">
        <f>IF($A23="",0,IFERROR(INDEX('5'!$I$210:$I$309,MATCH($A23,'5'!$C$210:$C$309,0)),0))</f>
        <v>0</v>
      </c>
      <c r="M23" s="25">
        <f>IF($A23="","",D23+F23+H23+J23+L23)</f>
        <v>1</v>
      </c>
      <c r="N23" s="26">
        <f>IF(OR($A23="",M23="",M23=0),"",RANK(M23,$M$4:$M$203,0))</f>
        <v>19</v>
      </c>
      <c r="AA23">
        <f>Baarn!C65</f>
        <v>0</v>
      </c>
      <c r="AB23">
        <f>IF(AA23="",0,IF(COUNTIF($AA$1:AA23,AA23)=1,1,0))</f>
        <v>0</v>
      </c>
      <c r="AC23" t="str">
        <f>IF(AB23=1,COUNTIF($AB$1:AB23,1),"")</f>
        <v/>
      </c>
    </row>
    <row r="24" spans="1:29" x14ac:dyDescent="0.25">
      <c r="A24" s="13" t="str">
        <f>IFERROR(INDEX($AA$1:$AA$387,MATCH(22,$AC$1:$AC$387,0)),"")</f>
        <v>Ilya Fontaine</v>
      </c>
      <c r="B24" s="13" t="str">
        <f>IF($A24="","",IF(IFERROR(INDEX(Baarn!$F$43:$F$129,MATCH($A24,Baarn!$C$43:$C$129,0)),"")&lt;&gt;"",IFERROR(INDEX(Baarn!$F$43:$F$129,MATCH($A24,Baarn!$C$43:$C$129,0)),""),IF(IFERROR(INDEX(Scherpenzeel!$F$210:$F$309,MATCH($A24,Scherpenzeel!$C$210:$C$309,0)),"")&lt;&gt;"",IFERROR(INDEX(Scherpenzeel!$F$210:$F$309,MATCH($A24,Scherpenzeel!$C$210:$C$309,0)),""),IF(IFERROR(INDEX('4'!$F$210:$F$309,MATCH($A24,'4'!$C$210:$C$309,0)),"")&lt;&gt;"",IFERROR(INDEX('4'!$F$210:$F$309,MATCH($A24,'4'!$C$210:$C$309,0)),""),IFERROR(INDEX('5'!$F$210:$F$309,MATCH($A24,'5'!$C$210:$C$309,0)),"")))))</f>
        <v>ASC Olympia</v>
      </c>
      <c r="C24" s="24" t="str">
        <f>""</f>
        <v/>
      </c>
      <c r="D24" s="15">
        <f>0</f>
        <v>0</v>
      </c>
      <c r="E24" s="24" t="str">
        <f>IF($A24="","",IFERROR(INDEX(Baarn!$A$43:$A$129,MATCH($A24,Baarn!$C$43:$C$129,0)),""))</f>
        <v/>
      </c>
      <c r="F24" s="15">
        <f>IF($A24="",0,IFERROR(INDEX(Baarn!$I$43:$I$129,MATCH($A24,Baarn!$C$43:$C$129,0)),0))</f>
        <v>0</v>
      </c>
      <c r="G24" s="24" t="str">
        <f>IF($A24="","",IFERROR(INDEX(Scherpenzeel!$A$210:$A$309,MATCH($A24,Scherpenzeel!$C$210:$C$309,0)),""))</f>
        <v>DNF</v>
      </c>
      <c r="H24" s="15">
        <f>IF($A24="",0,IFERROR(INDEX(Scherpenzeel!$I$210:$I$309,MATCH($A24,Scherpenzeel!$C$210:$C$309,0)),0))</f>
        <v>1</v>
      </c>
      <c r="I24" s="24" t="str">
        <f>IF($A24="","",IFERROR(INDEX('4'!$A$210:$A$309,MATCH($A24,'4'!$C$210:$C$309,0)),""))</f>
        <v/>
      </c>
      <c r="J24" s="15">
        <f>IF($A24="",0,IFERROR(INDEX('4'!$I$210:$I$309,MATCH($A24,'4'!$C$210:$C$309,0)),0))</f>
        <v>0</v>
      </c>
      <c r="K24" s="24" t="str">
        <f>IF($A24="","",IFERROR(INDEX('5'!$A$210:$A$309,MATCH($A24,'5'!$C$210:$C$309,0)),""))</f>
        <v/>
      </c>
      <c r="L24" s="15">
        <f>IF($A24="",0,IFERROR(INDEX('5'!$I$210:$I$309,MATCH($A24,'5'!$C$210:$C$309,0)),0))</f>
        <v>0</v>
      </c>
      <c r="M24" s="25">
        <f>IF($A24="","",D24+F24+H24+J24+L24)</f>
        <v>1</v>
      </c>
      <c r="N24" s="26">
        <f>IF(OR($A24="",M24="",M24=0),"",RANK(M24,$M$4:$M$203,0))</f>
        <v>19</v>
      </c>
      <c r="AA24">
        <f>Baarn!C66</f>
        <v>0</v>
      </c>
      <c r="AB24">
        <f>IF(AA24="",0,IF(COUNTIF($AA$1:AA24,AA24)=1,1,0))</f>
        <v>0</v>
      </c>
      <c r="AC24" t="str">
        <f>IF(AB24=1,COUNTIF($AB$1:AB24,1),"")</f>
        <v/>
      </c>
    </row>
    <row r="25" spans="1:29" x14ac:dyDescent="0.25">
      <c r="A25" s="13">
        <f>IFERROR(INDEX($AA$1:$AA$387,MATCH(8,$AC$1:$AC$387,0)),"")</f>
        <v>0</v>
      </c>
      <c r="B25" s="13" t="str">
        <f>IF($A25="","",IF(IFERROR(INDEX(Baarn!$F$43:$F$129,MATCH($A25,Baarn!$C$43:$C$129,0)),"")&lt;&gt;"",IFERROR(INDEX(Baarn!$F$43:$F$129,MATCH($A25,Baarn!$C$43:$C$129,0)),""),IF(IFERROR(INDEX(Scherpenzeel!$F$210:$F$309,MATCH($A25,Scherpenzeel!$C$210:$C$309,0)),"")&lt;&gt;"",IFERROR(INDEX(Scherpenzeel!$F$210:$F$309,MATCH($A25,Scherpenzeel!$C$210:$C$309,0)),""),IF(IFERROR(INDEX('4'!$F$210:$F$309,MATCH($A25,'4'!$C$210:$C$309,0)),"")&lt;&gt;"",IFERROR(INDEX('4'!$F$210:$F$309,MATCH($A25,'4'!$C$210:$C$309,0)),""),IFERROR(INDEX('5'!$F$210:$F$309,MATCH($A25,'5'!$C$210:$C$309,0)),"")))))</f>
        <v/>
      </c>
      <c r="C25" s="24" t="str">
        <f>""</f>
        <v/>
      </c>
      <c r="D25" s="15">
        <f>0</f>
        <v>0</v>
      </c>
      <c r="E25" s="24" t="str">
        <f>IF($A25="","",IFERROR(INDEX(Baarn!$A$43:$A$129,MATCH($A25,Baarn!$C$43:$C$129,0)),""))</f>
        <v/>
      </c>
      <c r="F25" s="15">
        <f>IF($A25="",0,IFERROR(INDEX(Baarn!$I$43:$I$129,MATCH($A25,Baarn!$C$43:$C$129,0)),0))</f>
        <v>0</v>
      </c>
      <c r="G25" s="24" t="str">
        <f>IF($A25="","",IFERROR(INDEX(Scherpenzeel!$A$210:$A$309,MATCH($A25,Scherpenzeel!$C$210:$C$309,0)),""))</f>
        <v/>
      </c>
      <c r="H25" s="15">
        <f>IF($A25="",0,IFERROR(INDEX(Scherpenzeel!$I$210:$I$309,MATCH($A25,Scherpenzeel!$C$210:$C$309,0)),0))</f>
        <v>0</v>
      </c>
      <c r="I25" s="24" t="str">
        <f>IF($A25="","",IFERROR(INDEX('4'!$A$210:$A$309,MATCH($A25,'4'!$C$210:$C$309,0)),""))</f>
        <v/>
      </c>
      <c r="J25" s="15">
        <f>IF($A25="",0,IFERROR(INDEX('4'!$I$210:$I$309,MATCH($A25,'4'!$C$210:$C$309,0)),0))</f>
        <v>0</v>
      </c>
      <c r="K25" s="24" t="str">
        <f>IF($A25="","",IFERROR(INDEX('5'!$A$210:$A$309,MATCH($A25,'5'!$C$210:$C$309,0)),""))</f>
        <v/>
      </c>
      <c r="L25" s="15">
        <f>IF($A25="",0,IFERROR(INDEX('5'!$I$210:$I$309,MATCH($A25,'5'!$C$210:$C$309,0)),0))</f>
        <v>0</v>
      </c>
      <c r="M25" s="25">
        <f>IF($A25="","",D25+F25+H25+J25+L25)</f>
        <v>0</v>
      </c>
      <c r="N25" s="26" t="str">
        <f>IF(OR($A25="",M25="",M25=0),"",RANK(M25,$M$4:$M$203,0))</f>
        <v/>
      </c>
      <c r="AA25">
        <f>Baarn!C67</f>
        <v>0</v>
      </c>
      <c r="AB25">
        <f>IF(AA25="",0,IF(COUNTIF($AA$1:AA25,AA25)=1,1,0))</f>
        <v>0</v>
      </c>
      <c r="AC25" t="str">
        <f>IF(AB25=1,COUNTIF($AB$1:AB25,1),"")</f>
        <v/>
      </c>
    </row>
    <row r="26" spans="1:29" x14ac:dyDescent="0.25">
      <c r="A26" s="13" t="str">
        <f>IFERROR(INDEX($AA$1:$AA$387,MATCH(23,$AC$1:$AC$387,0)),"")</f>
        <v/>
      </c>
      <c r="B26" s="13" t="str">
        <f>IF($A26="","",IF(IFERROR(INDEX(Baarn!$F$43:$F$129,MATCH($A26,Baarn!$C$43:$C$129,0)),"")&lt;&gt;"",IFERROR(INDEX(Baarn!$F$43:$F$129,MATCH($A26,Baarn!$C$43:$C$129,0)),""),IF(IFERROR(INDEX(Scherpenzeel!$F$210:$F$309,MATCH($A26,Scherpenzeel!$C$210:$C$309,0)),"")&lt;&gt;"",IFERROR(INDEX(Scherpenzeel!$F$210:$F$309,MATCH($A26,Scherpenzeel!$C$210:$C$309,0)),""),IF(IFERROR(INDEX('4'!$F$210:$F$309,MATCH($A26,'4'!$C$210:$C$309,0)),"")&lt;&gt;"",IFERROR(INDEX('4'!$F$210:$F$309,MATCH($A26,'4'!$C$210:$C$309,0)),""),IFERROR(INDEX('5'!$F$210:$F$309,MATCH($A26,'5'!$C$210:$C$309,0)),"")))))</f>
        <v/>
      </c>
      <c r="C26" s="24" t="str">
        <f>""</f>
        <v/>
      </c>
      <c r="D26" s="15">
        <f>0</f>
        <v>0</v>
      </c>
      <c r="E26" s="24" t="str">
        <f>IF($A26="","",IFERROR(INDEX(Baarn!$A$43:$A$129,MATCH($A26,Baarn!$C$43:$C$129,0)),""))</f>
        <v/>
      </c>
      <c r="F26" s="15">
        <f>IF($A26="",0,IFERROR(INDEX(Baarn!$I$43:$I$129,MATCH($A26,Baarn!$C$43:$C$129,0)),0))</f>
        <v>0</v>
      </c>
      <c r="G26" s="24" t="str">
        <f>IF($A26="","",IFERROR(INDEX(Scherpenzeel!$A$210:$A$309,MATCH($A26,Scherpenzeel!$C$210:$C$309,0)),""))</f>
        <v/>
      </c>
      <c r="H26" s="15">
        <f>IF($A26="",0,IFERROR(INDEX(Scherpenzeel!$I$210:$I$309,MATCH($A26,Scherpenzeel!$C$210:$C$309,0)),0))</f>
        <v>0</v>
      </c>
      <c r="I26" s="24" t="str">
        <f>IF($A26="","",IFERROR(INDEX('4'!$A$210:$A$309,MATCH($A26,'4'!$C$210:$C$309,0)),""))</f>
        <v/>
      </c>
      <c r="J26" s="15">
        <f>IF($A26="",0,IFERROR(INDEX('4'!$I$210:$I$309,MATCH($A26,'4'!$C$210:$C$309,0)),0))</f>
        <v>0</v>
      </c>
      <c r="K26" s="24" t="str">
        <f>IF($A26="","",IFERROR(INDEX('5'!$A$210:$A$309,MATCH($A26,'5'!$C$210:$C$309,0)),""))</f>
        <v/>
      </c>
      <c r="L26" s="15">
        <f>IF($A26="",0,IFERROR(INDEX('5'!$I$210:$I$309,MATCH($A26,'5'!$C$210:$C$309,0)),0))</f>
        <v>0</v>
      </c>
      <c r="M26" s="25" t="str">
        <f>IF($A26="","",D26+F26+H26+J26+L26)</f>
        <v/>
      </c>
      <c r="N26" s="26" t="str">
        <f>IF(OR($A26="",M26="",M26=0),"",RANK(M26,$M$4:$M$203,0))</f>
        <v/>
      </c>
      <c r="AA26">
        <f>Baarn!C68</f>
        <v>0</v>
      </c>
      <c r="AB26">
        <f>IF(AA26="",0,IF(COUNTIF($AA$1:AA26,AA26)=1,1,0))</f>
        <v>0</v>
      </c>
      <c r="AC26" t="str">
        <f>IF(AB26=1,COUNTIF($AB$1:AB26,1),"")</f>
        <v/>
      </c>
    </row>
    <row r="27" spans="1:29" x14ac:dyDescent="0.25">
      <c r="A27" s="13" t="str">
        <f>IFERROR(INDEX($AA$1:$AA$387,MATCH(24,$AC$1:$AC$387,0)),"")</f>
        <v/>
      </c>
      <c r="B27" s="13" t="str">
        <f>IF($A27="","",IF(IFERROR(INDEX(Baarn!$F$43:$F$129,MATCH($A27,Baarn!$C$43:$C$129,0)),"")&lt;&gt;"",IFERROR(INDEX(Baarn!$F$43:$F$129,MATCH($A27,Baarn!$C$43:$C$129,0)),""),IF(IFERROR(INDEX(Scherpenzeel!$F$210:$F$309,MATCH($A27,Scherpenzeel!$C$210:$C$309,0)),"")&lt;&gt;"",IFERROR(INDEX(Scherpenzeel!$F$210:$F$309,MATCH($A27,Scherpenzeel!$C$210:$C$309,0)),""),IF(IFERROR(INDEX('4'!$F$210:$F$309,MATCH($A27,'4'!$C$210:$C$309,0)),"")&lt;&gt;"",IFERROR(INDEX('4'!$F$210:$F$309,MATCH($A27,'4'!$C$210:$C$309,0)),""),IFERROR(INDEX('5'!$F$210:$F$309,MATCH($A27,'5'!$C$210:$C$309,0)),"")))))</f>
        <v/>
      </c>
      <c r="C27" s="24" t="str">
        <f>""</f>
        <v/>
      </c>
      <c r="D27" s="15">
        <f>0</f>
        <v>0</v>
      </c>
      <c r="E27" s="24" t="str">
        <f>IF($A27="","",IFERROR(INDEX(Baarn!$A$43:$A$129,MATCH($A27,Baarn!$C$43:$C$129,0)),""))</f>
        <v/>
      </c>
      <c r="F27" s="15">
        <f>IF($A27="",0,IFERROR(INDEX(Baarn!$I$43:$I$129,MATCH($A27,Baarn!$C$43:$C$129,0)),0))</f>
        <v>0</v>
      </c>
      <c r="G27" s="24" t="str">
        <f>IF($A27="","",IFERROR(INDEX(Scherpenzeel!$A$210:$A$309,MATCH($A27,Scherpenzeel!$C$210:$C$309,0)),""))</f>
        <v/>
      </c>
      <c r="H27" s="15">
        <f>IF($A27="",0,IFERROR(INDEX(Scherpenzeel!$I$210:$I$309,MATCH($A27,Scherpenzeel!$C$210:$C$309,0)),0))</f>
        <v>0</v>
      </c>
      <c r="I27" s="24" t="str">
        <f>IF($A27="","",IFERROR(INDEX('4'!$A$210:$A$309,MATCH($A27,'4'!$C$210:$C$309,0)),""))</f>
        <v/>
      </c>
      <c r="J27" s="15">
        <f>IF($A27="",0,IFERROR(INDEX('4'!$I$210:$I$309,MATCH($A27,'4'!$C$210:$C$309,0)),0))</f>
        <v>0</v>
      </c>
      <c r="K27" s="24" t="str">
        <f>IF($A27="","",IFERROR(INDEX('5'!$A$210:$A$309,MATCH($A27,'5'!$C$210:$C$309,0)),""))</f>
        <v/>
      </c>
      <c r="L27" s="15">
        <f>IF($A27="",0,IFERROR(INDEX('5'!$I$210:$I$309,MATCH($A27,'5'!$C$210:$C$309,0)),0))</f>
        <v>0</v>
      </c>
      <c r="M27" s="25" t="str">
        <f>IF($A27="","",D27+F27+H27+J27+L27)</f>
        <v/>
      </c>
      <c r="N27" s="26" t="str">
        <f>IF(OR($A27="",M27="",M27=0),"",RANK(M27,$M$4:$M$203,0))</f>
        <v/>
      </c>
      <c r="AA27">
        <f>Baarn!C69</f>
        <v>0</v>
      </c>
      <c r="AB27">
        <f>IF(AA27="",0,IF(COUNTIF($AA$1:AA27,AA27)=1,1,0))</f>
        <v>0</v>
      </c>
      <c r="AC27" t="str">
        <f>IF(AB27=1,COUNTIF($AB$1:AB27,1),"")</f>
        <v/>
      </c>
    </row>
    <row r="28" spans="1:29" x14ac:dyDescent="0.25">
      <c r="A28" s="13" t="str">
        <f>IFERROR(INDEX($AA$1:$AA$387,MATCH(25,$AC$1:$AC$387,0)),"")</f>
        <v/>
      </c>
      <c r="B28" s="13" t="str">
        <f>IF($A28="","",IF(IFERROR(INDEX(Baarn!$F$43:$F$129,MATCH($A28,Baarn!$C$43:$C$129,0)),"")&lt;&gt;"",IFERROR(INDEX(Baarn!$F$43:$F$129,MATCH($A28,Baarn!$C$43:$C$129,0)),""),IF(IFERROR(INDEX(Scherpenzeel!$F$210:$F$309,MATCH($A28,Scherpenzeel!$C$210:$C$309,0)),"")&lt;&gt;"",IFERROR(INDEX(Scherpenzeel!$F$210:$F$309,MATCH($A28,Scherpenzeel!$C$210:$C$309,0)),""),IF(IFERROR(INDEX('4'!$F$210:$F$309,MATCH($A28,'4'!$C$210:$C$309,0)),"")&lt;&gt;"",IFERROR(INDEX('4'!$F$210:$F$309,MATCH($A28,'4'!$C$210:$C$309,0)),""),IFERROR(INDEX('5'!$F$210:$F$309,MATCH($A28,'5'!$C$210:$C$309,0)),"")))))</f>
        <v/>
      </c>
      <c r="C28" s="24" t="str">
        <f>""</f>
        <v/>
      </c>
      <c r="D28" s="15">
        <f>0</f>
        <v>0</v>
      </c>
      <c r="E28" s="24" t="str">
        <f>IF($A28="","",IFERROR(INDEX(Baarn!$A$43:$A$129,MATCH($A28,Baarn!$C$43:$C$129,0)),""))</f>
        <v/>
      </c>
      <c r="F28" s="15">
        <f>IF($A28="",0,IFERROR(INDEX(Baarn!$I$43:$I$129,MATCH($A28,Baarn!$C$43:$C$129,0)),0))</f>
        <v>0</v>
      </c>
      <c r="G28" s="24" t="str">
        <f>IF($A28="","",IFERROR(INDEX(Scherpenzeel!$A$210:$A$309,MATCH($A28,Scherpenzeel!$C$210:$C$309,0)),""))</f>
        <v/>
      </c>
      <c r="H28" s="15">
        <f>IF($A28="",0,IFERROR(INDEX(Scherpenzeel!$I$210:$I$309,MATCH($A28,Scherpenzeel!$C$210:$C$309,0)),0))</f>
        <v>0</v>
      </c>
      <c r="I28" s="24" t="str">
        <f>IF($A28="","",IFERROR(INDEX('4'!$A$210:$A$309,MATCH($A28,'4'!$C$210:$C$309,0)),""))</f>
        <v/>
      </c>
      <c r="J28" s="15">
        <f>IF($A28="",0,IFERROR(INDEX('4'!$I$210:$I$309,MATCH($A28,'4'!$C$210:$C$309,0)),0))</f>
        <v>0</v>
      </c>
      <c r="K28" s="24" t="str">
        <f>IF($A28="","",IFERROR(INDEX('5'!$A$210:$A$309,MATCH($A28,'5'!$C$210:$C$309,0)),""))</f>
        <v/>
      </c>
      <c r="L28" s="15">
        <f>IF($A28="",0,IFERROR(INDEX('5'!$I$210:$I$309,MATCH($A28,'5'!$C$210:$C$309,0)),0))</f>
        <v>0</v>
      </c>
      <c r="M28" s="25" t="str">
        <f>IF($A28="","",D28+F28+H28+J28+L28)</f>
        <v/>
      </c>
      <c r="N28" s="26" t="str">
        <f>IF(OR($A28="",M28="",M28=0),"",RANK(M28,$M$4:$M$203,0))</f>
        <v/>
      </c>
      <c r="AA28">
        <f>Baarn!C70</f>
        <v>0</v>
      </c>
      <c r="AB28">
        <f>IF(AA28="",0,IF(COUNTIF($AA$1:AA28,AA28)=1,1,0))</f>
        <v>0</v>
      </c>
      <c r="AC28" t="str">
        <f>IF(AB28=1,COUNTIF($AB$1:AB28,1),"")</f>
        <v/>
      </c>
    </row>
    <row r="29" spans="1:29" x14ac:dyDescent="0.25">
      <c r="A29" s="13" t="str">
        <f>IFERROR(INDEX($AA$1:$AA$387,MATCH(26,$AC$1:$AC$387,0)),"")</f>
        <v/>
      </c>
      <c r="B29" s="13" t="str">
        <f>IF($A29="","",IF(IFERROR(INDEX(Baarn!$F$43:$F$129,MATCH($A29,Baarn!$C$43:$C$129,0)),"")&lt;&gt;"",IFERROR(INDEX(Baarn!$F$43:$F$129,MATCH($A29,Baarn!$C$43:$C$129,0)),""),IF(IFERROR(INDEX(Scherpenzeel!$F$210:$F$309,MATCH($A29,Scherpenzeel!$C$210:$C$309,0)),"")&lt;&gt;"",IFERROR(INDEX(Scherpenzeel!$F$210:$F$309,MATCH($A29,Scherpenzeel!$C$210:$C$309,0)),""),IF(IFERROR(INDEX('4'!$F$210:$F$309,MATCH($A29,'4'!$C$210:$C$309,0)),"")&lt;&gt;"",IFERROR(INDEX('4'!$F$210:$F$309,MATCH($A29,'4'!$C$210:$C$309,0)),""),IFERROR(INDEX('5'!$F$210:$F$309,MATCH($A29,'5'!$C$210:$C$309,0)),"")))))</f>
        <v/>
      </c>
      <c r="C29" s="24" t="str">
        <f>""</f>
        <v/>
      </c>
      <c r="D29" s="15">
        <f>0</f>
        <v>0</v>
      </c>
      <c r="E29" s="24" t="str">
        <f>IF($A29="","",IFERROR(INDEX(Baarn!$A$43:$A$129,MATCH($A29,Baarn!$C$43:$C$129,0)),""))</f>
        <v/>
      </c>
      <c r="F29" s="15">
        <f>IF($A29="",0,IFERROR(INDEX(Baarn!$I$43:$I$129,MATCH($A29,Baarn!$C$43:$C$129,0)),0))</f>
        <v>0</v>
      </c>
      <c r="G29" s="24" t="str">
        <f>IF($A29="","",IFERROR(INDEX(Scherpenzeel!$A$210:$A$309,MATCH($A29,Scherpenzeel!$C$210:$C$309,0)),""))</f>
        <v/>
      </c>
      <c r="H29" s="15">
        <f>IF($A29="",0,IFERROR(INDEX(Scherpenzeel!$I$210:$I$309,MATCH($A29,Scherpenzeel!$C$210:$C$309,0)),0))</f>
        <v>0</v>
      </c>
      <c r="I29" s="24" t="str">
        <f>IF($A29="","",IFERROR(INDEX('4'!$A$210:$A$309,MATCH($A29,'4'!$C$210:$C$309,0)),""))</f>
        <v/>
      </c>
      <c r="J29" s="15">
        <f>IF($A29="",0,IFERROR(INDEX('4'!$I$210:$I$309,MATCH($A29,'4'!$C$210:$C$309,0)),0))</f>
        <v>0</v>
      </c>
      <c r="K29" s="24" t="str">
        <f>IF($A29="","",IFERROR(INDEX('5'!$A$210:$A$309,MATCH($A29,'5'!$C$210:$C$309,0)),""))</f>
        <v/>
      </c>
      <c r="L29" s="15">
        <f>IF($A29="",0,IFERROR(INDEX('5'!$I$210:$I$309,MATCH($A29,'5'!$C$210:$C$309,0)),0))</f>
        <v>0</v>
      </c>
      <c r="M29" s="25" t="str">
        <f>IF($A29="","",D29+F29+H29+J29+L29)</f>
        <v/>
      </c>
      <c r="N29" s="26" t="str">
        <f>IF(OR($A29="",M29="",M29=0),"",RANK(M29,$M$4:$M$203,0))</f>
        <v/>
      </c>
      <c r="AA29">
        <f>Baarn!C71</f>
        <v>0</v>
      </c>
      <c r="AB29">
        <f>IF(AA29="",0,IF(COUNTIF($AA$1:AA29,AA29)=1,1,0))</f>
        <v>0</v>
      </c>
      <c r="AC29" t="str">
        <f>IF(AB29=1,COUNTIF($AB$1:AB29,1),"")</f>
        <v/>
      </c>
    </row>
    <row r="30" spans="1:29" x14ac:dyDescent="0.25">
      <c r="A30" s="13" t="str">
        <f>IFERROR(INDEX($AA$1:$AA$387,MATCH(27,$AC$1:$AC$387,0)),"")</f>
        <v/>
      </c>
      <c r="B30" s="13" t="str">
        <f>IF($A30="","",IF(IFERROR(INDEX(Baarn!$F$43:$F$129,MATCH($A30,Baarn!$C$43:$C$129,0)),"")&lt;&gt;"",IFERROR(INDEX(Baarn!$F$43:$F$129,MATCH($A30,Baarn!$C$43:$C$129,0)),""),IF(IFERROR(INDEX(Scherpenzeel!$F$210:$F$309,MATCH($A30,Scherpenzeel!$C$210:$C$309,0)),"")&lt;&gt;"",IFERROR(INDEX(Scherpenzeel!$F$210:$F$309,MATCH($A30,Scherpenzeel!$C$210:$C$309,0)),""),IF(IFERROR(INDEX('4'!$F$210:$F$309,MATCH($A30,'4'!$C$210:$C$309,0)),"")&lt;&gt;"",IFERROR(INDEX('4'!$F$210:$F$309,MATCH($A30,'4'!$C$210:$C$309,0)),""),IFERROR(INDEX('5'!$F$210:$F$309,MATCH($A30,'5'!$C$210:$C$309,0)),"")))))</f>
        <v/>
      </c>
      <c r="C30" s="24" t="str">
        <f>""</f>
        <v/>
      </c>
      <c r="D30" s="15">
        <f>0</f>
        <v>0</v>
      </c>
      <c r="E30" s="24" t="str">
        <f>IF($A30="","",IFERROR(INDEX(Baarn!$A$43:$A$129,MATCH($A30,Baarn!$C$43:$C$129,0)),""))</f>
        <v/>
      </c>
      <c r="F30" s="15">
        <f>IF($A30="",0,IFERROR(INDEX(Baarn!$I$43:$I$129,MATCH($A30,Baarn!$C$43:$C$129,0)),0))</f>
        <v>0</v>
      </c>
      <c r="G30" s="24" t="str">
        <f>IF($A30="","",IFERROR(INDEX(Scherpenzeel!$A$210:$A$309,MATCH($A30,Scherpenzeel!$C$210:$C$309,0)),""))</f>
        <v/>
      </c>
      <c r="H30" s="15">
        <f>IF($A30="",0,IFERROR(INDEX(Scherpenzeel!$I$210:$I$309,MATCH($A30,Scherpenzeel!$C$210:$C$309,0)),0))</f>
        <v>0</v>
      </c>
      <c r="I30" s="24" t="str">
        <f>IF($A30="","",IFERROR(INDEX('4'!$A$210:$A$309,MATCH($A30,'4'!$C$210:$C$309,0)),""))</f>
        <v/>
      </c>
      <c r="J30" s="15">
        <f>IF($A30="",0,IFERROR(INDEX('4'!$I$210:$I$309,MATCH($A30,'4'!$C$210:$C$309,0)),0))</f>
        <v>0</v>
      </c>
      <c r="K30" s="24" t="str">
        <f>IF($A30="","",IFERROR(INDEX('5'!$A$210:$A$309,MATCH($A30,'5'!$C$210:$C$309,0)),""))</f>
        <v/>
      </c>
      <c r="L30" s="15">
        <f>IF($A30="",0,IFERROR(INDEX('5'!$I$210:$I$309,MATCH($A30,'5'!$C$210:$C$309,0)),0))</f>
        <v>0</v>
      </c>
      <c r="M30" s="25" t="str">
        <f>IF($A30="","",D30+F30+H30+J30+L30)</f>
        <v/>
      </c>
      <c r="N30" s="26" t="str">
        <f>IF(OR($A30="",M30="",M30=0),"",RANK(M30,$M$4:$M$203,0))</f>
        <v/>
      </c>
      <c r="AA30">
        <f>Baarn!C72</f>
        <v>0</v>
      </c>
      <c r="AB30">
        <f>IF(AA30="",0,IF(COUNTIF($AA$1:AA30,AA30)=1,1,0))</f>
        <v>0</v>
      </c>
      <c r="AC30" t="str">
        <f>IF(AB30=1,COUNTIF($AB$1:AB30,1),"")</f>
        <v/>
      </c>
    </row>
    <row r="31" spans="1:29" x14ac:dyDescent="0.25">
      <c r="A31" s="13" t="str">
        <f>IFERROR(INDEX($AA$1:$AA$387,MATCH(28,$AC$1:$AC$387,0)),"")</f>
        <v/>
      </c>
      <c r="B31" s="13" t="str">
        <f>IF($A31="","",IF(IFERROR(INDEX(Baarn!$F$43:$F$129,MATCH($A31,Baarn!$C$43:$C$129,0)),"")&lt;&gt;"",IFERROR(INDEX(Baarn!$F$43:$F$129,MATCH($A31,Baarn!$C$43:$C$129,0)),""),IF(IFERROR(INDEX(Scherpenzeel!$F$210:$F$309,MATCH($A31,Scherpenzeel!$C$210:$C$309,0)),"")&lt;&gt;"",IFERROR(INDEX(Scherpenzeel!$F$210:$F$309,MATCH($A31,Scherpenzeel!$C$210:$C$309,0)),""),IF(IFERROR(INDEX('4'!$F$210:$F$309,MATCH($A31,'4'!$C$210:$C$309,0)),"")&lt;&gt;"",IFERROR(INDEX('4'!$F$210:$F$309,MATCH($A31,'4'!$C$210:$C$309,0)),""),IFERROR(INDEX('5'!$F$210:$F$309,MATCH($A31,'5'!$C$210:$C$309,0)),"")))))</f>
        <v/>
      </c>
      <c r="C31" s="24" t="str">
        <f>""</f>
        <v/>
      </c>
      <c r="D31" s="15">
        <f>0</f>
        <v>0</v>
      </c>
      <c r="E31" s="24" t="str">
        <f>IF($A31="","",IFERROR(INDEX(Baarn!$A$43:$A$129,MATCH($A31,Baarn!$C$43:$C$129,0)),""))</f>
        <v/>
      </c>
      <c r="F31" s="15">
        <f>IF($A31="",0,IFERROR(INDEX(Baarn!$I$43:$I$129,MATCH($A31,Baarn!$C$43:$C$129,0)),0))</f>
        <v>0</v>
      </c>
      <c r="G31" s="24" t="str">
        <f>IF($A31="","",IFERROR(INDEX(Scherpenzeel!$A$210:$A$309,MATCH($A31,Scherpenzeel!$C$210:$C$309,0)),""))</f>
        <v/>
      </c>
      <c r="H31" s="15">
        <f>IF($A31="",0,IFERROR(INDEX(Scherpenzeel!$I$210:$I$309,MATCH($A31,Scherpenzeel!$C$210:$C$309,0)),0))</f>
        <v>0</v>
      </c>
      <c r="I31" s="24" t="str">
        <f>IF($A31="","",IFERROR(INDEX('4'!$A$210:$A$309,MATCH($A31,'4'!$C$210:$C$309,0)),""))</f>
        <v/>
      </c>
      <c r="J31" s="15">
        <f>IF($A31="",0,IFERROR(INDEX('4'!$I$210:$I$309,MATCH($A31,'4'!$C$210:$C$309,0)),0))</f>
        <v>0</v>
      </c>
      <c r="K31" s="24" t="str">
        <f>IF($A31="","",IFERROR(INDEX('5'!$A$210:$A$309,MATCH($A31,'5'!$C$210:$C$309,0)),""))</f>
        <v/>
      </c>
      <c r="L31" s="15">
        <f>IF($A31="",0,IFERROR(INDEX('5'!$I$210:$I$309,MATCH($A31,'5'!$C$210:$C$309,0)),0))</f>
        <v>0</v>
      </c>
      <c r="M31" s="25" t="str">
        <f>IF($A31="","",D31+F31+H31+J31+L31)</f>
        <v/>
      </c>
      <c r="N31" s="26" t="str">
        <f>IF(OR($A31="",M31="",M31=0),"",RANK(M31,$M$4:$M$203,0))</f>
        <v/>
      </c>
      <c r="AA31">
        <f>Baarn!C73</f>
        <v>0</v>
      </c>
      <c r="AB31">
        <f>IF(AA31="",0,IF(COUNTIF($AA$1:AA31,AA31)=1,1,0))</f>
        <v>0</v>
      </c>
      <c r="AC31" t="str">
        <f>IF(AB31=1,COUNTIF($AB$1:AB31,1),"")</f>
        <v/>
      </c>
    </row>
    <row r="32" spans="1:29" x14ac:dyDescent="0.25">
      <c r="A32" s="13" t="str">
        <f>IFERROR(INDEX($AA$1:$AA$387,MATCH(29,$AC$1:$AC$387,0)),"")</f>
        <v/>
      </c>
      <c r="B32" s="13" t="str">
        <f>IF($A32="","",IF(IFERROR(INDEX(Baarn!$F$43:$F$129,MATCH($A32,Baarn!$C$43:$C$129,0)),"")&lt;&gt;"",IFERROR(INDEX(Baarn!$F$43:$F$129,MATCH($A32,Baarn!$C$43:$C$129,0)),""),IF(IFERROR(INDEX(Scherpenzeel!$F$210:$F$309,MATCH($A32,Scherpenzeel!$C$210:$C$309,0)),"")&lt;&gt;"",IFERROR(INDEX(Scherpenzeel!$F$210:$F$309,MATCH($A32,Scherpenzeel!$C$210:$C$309,0)),""),IF(IFERROR(INDEX('4'!$F$210:$F$309,MATCH($A32,'4'!$C$210:$C$309,0)),"")&lt;&gt;"",IFERROR(INDEX('4'!$F$210:$F$309,MATCH($A32,'4'!$C$210:$C$309,0)),""),IFERROR(INDEX('5'!$F$210:$F$309,MATCH($A32,'5'!$C$210:$C$309,0)),"")))))</f>
        <v/>
      </c>
      <c r="C32" s="24" t="str">
        <f>""</f>
        <v/>
      </c>
      <c r="D32" s="15">
        <f>0</f>
        <v>0</v>
      </c>
      <c r="E32" s="24" t="str">
        <f>IF($A32="","",IFERROR(INDEX(Baarn!$A$43:$A$129,MATCH($A32,Baarn!$C$43:$C$129,0)),""))</f>
        <v/>
      </c>
      <c r="F32" s="15">
        <f>IF($A32="",0,IFERROR(INDEX(Baarn!$I$43:$I$129,MATCH($A32,Baarn!$C$43:$C$129,0)),0))</f>
        <v>0</v>
      </c>
      <c r="G32" s="24" t="str">
        <f>IF($A32="","",IFERROR(INDEX(Scherpenzeel!$A$210:$A$309,MATCH($A32,Scherpenzeel!$C$210:$C$309,0)),""))</f>
        <v/>
      </c>
      <c r="H32" s="15">
        <f>IF($A32="",0,IFERROR(INDEX(Scherpenzeel!$I$210:$I$309,MATCH($A32,Scherpenzeel!$C$210:$C$309,0)),0))</f>
        <v>0</v>
      </c>
      <c r="I32" s="24" t="str">
        <f>IF($A32="","",IFERROR(INDEX('4'!$A$210:$A$309,MATCH($A32,'4'!$C$210:$C$309,0)),""))</f>
        <v/>
      </c>
      <c r="J32" s="15">
        <f>IF($A32="",0,IFERROR(INDEX('4'!$I$210:$I$309,MATCH($A32,'4'!$C$210:$C$309,0)),0))</f>
        <v>0</v>
      </c>
      <c r="K32" s="24" t="str">
        <f>IF($A32="","",IFERROR(INDEX('5'!$A$210:$A$309,MATCH($A32,'5'!$C$210:$C$309,0)),""))</f>
        <v/>
      </c>
      <c r="L32" s="15">
        <f>IF($A32="",0,IFERROR(INDEX('5'!$I$210:$I$309,MATCH($A32,'5'!$C$210:$C$309,0)),0))</f>
        <v>0</v>
      </c>
      <c r="M32" s="25" t="str">
        <f>IF($A32="","",D32+F32+H32+J32+L32)</f>
        <v/>
      </c>
      <c r="N32" s="26" t="str">
        <f>IF(OR($A32="",M32="",M32=0),"",RANK(M32,$M$4:$M$203,0))</f>
        <v/>
      </c>
      <c r="AA32">
        <f>Baarn!C74</f>
        <v>0</v>
      </c>
      <c r="AB32">
        <f>IF(AA32="",0,IF(COUNTIF($AA$1:AA32,AA32)=1,1,0))</f>
        <v>0</v>
      </c>
      <c r="AC32" t="str">
        <f>IF(AB32=1,COUNTIF($AB$1:AB32,1),"")</f>
        <v/>
      </c>
    </row>
    <row r="33" spans="1:29" x14ac:dyDescent="0.25">
      <c r="A33" s="13" t="str">
        <f>IFERROR(INDEX($AA$1:$AA$387,MATCH(30,$AC$1:$AC$387,0)),"")</f>
        <v/>
      </c>
      <c r="B33" s="13" t="str">
        <f>IF($A33="","",IF(IFERROR(INDEX(Baarn!$F$43:$F$129,MATCH($A33,Baarn!$C$43:$C$129,0)),"")&lt;&gt;"",IFERROR(INDEX(Baarn!$F$43:$F$129,MATCH($A33,Baarn!$C$43:$C$129,0)),""),IF(IFERROR(INDEX(Scherpenzeel!$F$210:$F$309,MATCH($A33,Scherpenzeel!$C$210:$C$309,0)),"")&lt;&gt;"",IFERROR(INDEX(Scherpenzeel!$F$210:$F$309,MATCH($A33,Scherpenzeel!$C$210:$C$309,0)),""),IF(IFERROR(INDEX('4'!$F$210:$F$309,MATCH($A33,'4'!$C$210:$C$309,0)),"")&lt;&gt;"",IFERROR(INDEX('4'!$F$210:$F$309,MATCH($A33,'4'!$C$210:$C$309,0)),""),IFERROR(INDEX('5'!$F$210:$F$309,MATCH($A33,'5'!$C$210:$C$309,0)),"")))))</f>
        <v/>
      </c>
      <c r="C33" s="24" t="str">
        <f>""</f>
        <v/>
      </c>
      <c r="D33" s="15">
        <f>0</f>
        <v>0</v>
      </c>
      <c r="E33" s="24" t="str">
        <f>IF($A33="","",IFERROR(INDEX(Baarn!$A$43:$A$129,MATCH($A33,Baarn!$C$43:$C$129,0)),""))</f>
        <v/>
      </c>
      <c r="F33" s="15">
        <f>IF($A33="",0,IFERROR(INDEX(Baarn!$I$43:$I$129,MATCH($A33,Baarn!$C$43:$C$129,0)),0))</f>
        <v>0</v>
      </c>
      <c r="G33" s="24" t="str">
        <f>IF($A33="","",IFERROR(INDEX(Scherpenzeel!$A$210:$A$309,MATCH($A33,Scherpenzeel!$C$210:$C$309,0)),""))</f>
        <v/>
      </c>
      <c r="H33" s="15">
        <f>IF($A33="",0,IFERROR(INDEX(Scherpenzeel!$I$210:$I$309,MATCH($A33,Scherpenzeel!$C$210:$C$309,0)),0))</f>
        <v>0</v>
      </c>
      <c r="I33" s="24" t="str">
        <f>IF($A33="","",IFERROR(INDEX('4'!$A$210:$A$309,MATCH($A33,'4'!$C$210:$C$309,0)),""))</f>
        <v/>
      </c>
      <c r="J33" s="15">
        <f>IF($A33="",0,IFERROR(INDEX('4'!$I$210:$I$309,MATCH($A33,'4'!$C$210:$C$309,0)),0))</f>
        <v>0</v>
      </c>
      <c r="K33" s="24" t="str">
        <f>IF($A33="","",IFERROR(INDEX('5'!$A$210:$A$309,MATCH($A33,'5'!$C$210:$C$309,0)),""))</f>
        <v/>
      </c>
      <c r="L33" s="15">
        <f>IF($A33="",0,IFERROR(INDEX('5'!$I$210:$I$309,MATCH($A33,'5'!$C$210:$C$309,0)),0))</f>
        <v>0</v>
      </c>
      <c r="M33" s="25" t="str">
        <f>IF($A33="","",D33+F33+H33+J33+L33)</f>
        <v/>
      </c>
      <c r="N33" s="26" t="str">
        <f>IF(OR($A33="",M33="",M33=0),"",RANK(M33,$M$4:$M$203,0))</f>
        <v/>
      </c>
      <c r="AA33">
        <f>Baarn!C75</f>
        <v>0</v>
      </c>
      <c r="AB33">
        <f>IF(AA33="",0,IF(COUNTIF($AA$1:AA33,AA33)=1,1,0))</f>
        <v>0</v>
      </c>
      <c r="AC33" t="str">
        <f>IF(AB33=1,COUNTIF($AB$1:AB33,1),"")</f>
        <v/>
      </c>
    </row>
    <row r="34" spans="1:29" x14ac:dyDescent="0.25">
      <c r="A34" s="13" t="str">
        <f>IFERROR(INDEX($AA$1:$AA$387,MATCH(31,$AC$1:$AC$387,0)),"")</f>
        <v/>
      </c>
      <c r="B34" s="13" t="str">
        <f>IF($A34="","",IF(IFERROR(INDEX(Baarn!$F$43:$F$129,MATCH($A34,Baarn!$C$43:$C$129,0)),"")&lt;&gt;"",IFERROR(INDEX(Baarn!$F$43:$F$129,MATCH($A34,Baarn!$C$43:$C$129,0)),""),IF(IFERROR(INDEX(Scherpenzeel!$F$210:$F$309,MATCH($A34,Scherpenzeel!$C$210:$C$309,0)),"")&lt;&gt;"",IFERROR(INDEX(Scherpenzeel!$F$210:$F$309,MATCH($A34,Scherpenzeel!$C$210:$C$309,0)),""),IF(IFERROR(INDEX('4'!$F$210:$F$309,MATCH($A34,'4'!$C$210:$C$309,0)),"")&lt;&gt;"",IFERROR(INDEX('4'!$F$210:$F$309,MATCH($A34,'4'!$C$210:$C$309,0)),""),IFERROR(INDEX('5'!$F$210:$F$309,MATCH($A34,'5'!$C$210:$C$309,0)),"")))))</f>
        <v/>
      </c>
      <c r="C34" s="24" t="str">
        <f>""</f>
        <v/>
      </c>
      <c r="D34" s="15">
        <f>0</f>
        <v>0</v>
      </c>
      <c r="E34" s="24" t="str">
        <f>IF($A34="","",IFERROR(INDEX(Baarn!$A$43:$A$129,MATCH($A34,Baarn!$C$43:$C$129,0)),""))</f>
        <v/>
      </c>
      <c r="F34" s="15">
        <f>IF($A34="",0,IFERROR(INDEX(Baarn!$I$43:$I$129,MATCH($A34,Baarn!$C$43:$C$129,0)),0))</f>
        <v>0</v>
      </c>
      <c r="G34" s="24" t="str">
        <f>IF($A34="","",IFERROR(INDEX(Scherpenzeel!$A$210:$A$309,MATCH($A34,Scherpenzeel!$C$210:$C$309,0)),""))</f>
        <v/>
      </c>
      <c r="H34" s="15">
        <f>IF($A34="",0,IFERROR(INDEX(Scherpenzeel!$I$210:$I$309,MATCH($A34,Scherpenzeel!$C$210:$C$309,0)),0))</f>
        <v>0</v>
      </c>
      <c r="I34" s="24" t="str">
        <f>IF($A34="","",IFERROR(INDEX('4'!$A$210:$A$309,MATCH($A34,'4'!$C$210:$C$309,0)),""))</f>
        <v/>
      </c>
      <c r="J34" s="15">
        <f>IF($A34="",0,IFERROR(INDEX('4'!$I$210:$I$309,MATCH($A34,'4'!$C$210:$C$309,0)),0))</f>
        <v>0</v>
      </c>
      <c r="K34" s="24" t="str">
        <f>IF($A34="","",IFERROR(INDEX('5'!$A$210:$A$309,MATCH($A34,'5'!$C$210:$C$309,0)),""))</f>
        <v/>
      </c>
      <c r="L34" s="15">
        <f>IF($A34="",0,IFERROR(INDEX('5'!$I$210:$I$309,MATCH($A34,'5'!$C$210:$C$309,0)),0))</f>
        <v>0</v>
      </c>
      <c r="M34" s="25" t="str">
        <f>IF($A34="","",D34+F34+H34+J34+L34)</f>
        <v/>
      </c>
      <c r="N34" s="26" t="str">
        <f>IF(OR($A34="",M34="",M34=0),"",RANK(M34,$M$4:$M$203,0))</f>
        <v/>
      </c>
      <c r="AA34">
        <f>Baarn!C76</f>
        <v>0</v>
      </c>
      <c r="AB34">
        <f>IF(AA34="",0,IF(COUNTIF($AA$1:AA34,AA34)=1,1,0))</f>
        <v>0</v>
      </c>
      <c r="AC34" t="str">
        <f>IF(AB34=1,COUNTIF($AB$1:AB34,1),"")</f>
        <v/>
      </c>
    </row>
    <row r="35" spans="1:29" x14ac:dyDescent="0.25">
      <c r="A35" s="13" t="str">
        <f>IFERROR(INDEX($AA$1:$AA$387,MATCH(32,$AC$1:$AC$387,0)),"")</f>
        <v/>
      </c>
      <c r="B35" s="13" t="str">
        <f>IF($A35="","",IF(IFERROR(INDEX(Baarn!$F$43:$F$129,MATCH($A35,Baarn!$C$43:$C$129,0)),"")&lt;&gt;"",IFERROR(INDEX(Baarn!$F$43:$F$129,MATCH($A35,Baarn!$C$43:$C$129,0)),""),IF(IFERROR(INDEX(Scherpenzeel!$F$210:$F$309,MATCH($A35,Scherpenzeel!$C$210:$C$309,0)),"")&lt;&gt;"",IFERROR(INDEX(Scherpenzeel!$F$210:$F$309,MATCH($A35,Scherpenzeel!$C$210:$C$309,0)),""),IF(IFERROR(INDEX('4'!$F$210:$F$309,MATCH($A35,'4'!$C$210:$C$309,0)),"")&lt;&gt;"",IFERROR(INDEX('4'!$F$210:$F$309,MATCH($A35,'4'!$C$210:$C$309,0)),""),IFERROR(INDEX('5'!$F$210:$F$309,MATCH($A35,'5'!$C$210:$C$309,0)),"")))))</f>
        <v/>
      </c>
      <c r="C35" s="24" t="str">
        <f>""</f>
        <v/>
      </c>
      <c r="D35" s="15">
        <f>0</f>
        <v>0</v>
      </c>
      <c r="E35" s="24" t="str">
        <f>IF($A35="","",IFERROR(INDEX(Baarn!$A$43:$A$129,MATCH($A35,Baarn!$C$43:$C$129,0)),""))</f>
        <v/>
      </c>
      <c r="F35" s="15">
        <f>IF($A35="",0,IFERROR(INDEX(Baarn!$I$43:$I$129,MATCH($A35,Baarn!$C$43:$C$129,0)),0))</f>
        <v>0</v>
      </c>
      <c r="G35" s="24" t="str">
        <f>IF($A35="","",IFERROR(INDEX(Scherpenzeel!$A$210:$A$309,MATCH($A35,Scherpenzeel!$C$210:$C$309,0)),""))</f>
        <v/>
      </c>
      <c r="H35" s="15">
        <f>IF($A35="",0,IFERROR(INDEX(Scherpenzeel!$I$210:$I$309,MATCH($A35,Scherpenzeel!$C$210:$C$309,0)),0))</f>
        <v>0</v>
      </c>
      <c r="I35" s="24" t="str">
        <f>IF($A35="","",IFERROR(INDEX('4'!$A$210:$A$309,MATCH($A35,'4'!$C$210:$C$309,0)),""))</f>
        <v/>
      </c>
      <c r="J35" s="15">
        <f>IF($A35="",0,IFERROR(INDEX('4'!$I$210:$I$309,MATCH($A35,'4'!$C$210:$C$309,0)),0))</f>
        <v>0</v>
      </c>
      <c r="K35" s="24" t="str">
        <f>IF($A35="","",IFERROR(INDEX('5'!$A$210:$A$309,MATCH($A35,'5'!$C$210:$C$309,0)),""))</f>
        <v/>
      </c>
      <c r="L35" s="15">
        <f>IF($A35="",0,IFERROR(INDEX('5'!$I$210:$I$309,MATCH($A35,'5'!$C$210:$C$309,0)),0))</f>
        <v>0</v>
      </c>
      <c r="M35" s="25" t="str">
        <f>IF($A35="","",D35+F35+H35+J35+L35)</f>
        <v/>
      </c>
      <c r="N35" s="26" t="str">
        <f>IF(OR($A35="",M35="",M35=0),"",RANK(M35,$M$4:$M$203,0))</f>
        <v/>
      </c>
      <c r="AA35">
        <f>Baarn!C77</f>
        <v>0</v>
      </c>
      <c r="AB35">
        <f>IF(AA35="",0,IF(COUNTIF($AA$1:AA35,AA35)=1,1,0))</f>
        <v>0</v>
      </c>
      <c r="AC35" t="str">
        <f>IF(AB35=1,COUNTIF($AB$1:AB35,1),"")</f>
        <v/>
      </c>
    </row>
    <row r="36" spans="1:29" x14ac:dyDescent="0.25">
      <c r="A36" s="13" t="str">
        <f>IFERROR(INDEX($AA$1:$AA$387,MATCH(33,$AC$1:$AC$387,0)),"")</f>
        <v/>
      </c>
      <c r="B36" s="13" t="str">
        <f>IF($A36="","",IF(IFERROR(INDEX(Baarn!$F$43:$F$129,MATCH($A36,Baarn!$C$43:$C$129,0)),"")&lt;&gt;"",IFERROR(INDEX(Baarn!$F$43:$F$129,MATCH($A36,Baarn!$C$43:$C$129,0)),""),IF(IFERROR(INDEX(Scherpenzeel!$F$210:$F$309,MATCH($A36,Scherpenzeel!$C$210:$C$309,0)),"")&lt;&gt;"",IFERROR(INDEX(Scherpenzeel!$F$210:$F$309,MATCH($A36,Scherpenzeel!$C$210:$C$309,0)),""),IF(IFERROR(INDEX('4'!$F$210:$F$309,MATCH($A36,'4'!$C$210:$C$309,0)),"")&lt;&gt;"",IFERROR(INDEX('4'!$F$210:$F$309,MATCH($A36,'4'!$C$210:$C$309,0)),""),IFERROR(INDEX('5'!$F$210:$F$309,MATCH($A36,'5'!$C$210:$C$309,0)),"")))))</f>
        <v/>
      </c>
      <c r="C36" s="24" t="str">
        <f>""</f>
        <v/>
      </c>
      <c r="D36" s="15">
        <f>0</f>
        <v>0</v>
      </c>
      <c r="E36" s="24" t="str">
        <f>IF($A36="","",IFERROR(INDEX(Baarn!$A$43:$A$129,MATCH($A36,Baarn!$C$43:$C$129,0)),""))</f>
        <v/>
      </c>
      <c r="F36" s="15">
        <f>IF($A36="",0,IFERROR(INDEX(Baarn!$I$43:$I$129,MATCH($A36,Baarn!$C$43:$C$129,0)),0))</f>
        <v>0</v>
      </c>
      <c r="G36" s="24" t="str">
        <f>IF($A36="","",IFERROR(INDEX(Scherpenzeel!$A$210:$A$309,MATCH($A36,Scherpenzeel!$C$210:$C$309,0)),""))</f>
        <v/>
      </c>
      <c r="H36" s="15">
        <f>IF($A36="",0,IFERROR(INDEX(Scherpenzeel!$I$210:$I$309,MATCH($A36,Scherpenzeel!$C$210:$C$309,0)),0))</f>
        <v>0</v>
      </c>
      <c r="I36" s="24" t="str">
        <f>IF($A36="","",IFERROR(INDEX('4'!$A$210:$A$309,MATCH($A36,'4'!$C$210:$C$309,0)),""))</f>
        <v/>
      </c>
      <c r="J36" s="15">
        <f>IF($A36="",0,IFERROR(INDEX('4'!$I$210:$I$309,MATCH($A36,'4'!$C$210:$C$309,0)),0))</f>
        <v>0</v>
      </c>
      <c r="K36" s="24" t="str">
        <f>IF($A36="","",IFERROR(INDEX('5'!$A$210:$A$309,MATCH($A36,'5'!$C$210:$C$309,0)),""))</f>
        <v/>
      </c>
      <c r="L36" s="15">
        <f>IF($A36="",0,IFERROR(INDEX('5'!$I$210:$I$309,MATCH($A36,'5'!$C$210:$C$309,0)),0))</f>
        <v>0</v>
      </c>
      <c r="M36" s="25" t="str">
        <f>IF($A36="","",D36+F36+H36+J36+L36)</f>
        <v/>
      </c>
      <c r="N36" s="26" t="str">
        <f>IF(OR($A36="",M36="",M36=0),"",RANK(M36,$M$4:$M$203,0))</f>
        <v/>
      </c>
      <c r="AA36">
        <f>Baarn!C78</f>
        <v>0</v>
      </c>
      <c r="AB36">
        <f>IF(AA36="",0,IF(COUNTIF($AA$1:AA36,AA36)=1,1,0))</f>
        <v>0</v>
      </c>
      <c r="AC36" t="str">
        <f>IF(AB36=1,COUNTIF($AB$1:AB36,1),"")</f>
        <v/>
      </c>
    </row>
    <row r="37" spans="1:29" x14ac:dyDescent="0.25">
      <c r="A37" s="13" t="str">
        <f>IFERROR(INDEX($AA$1:$AA$387,MATCH(34,$AC$1:$AC$387,0)),"")</f>
        <v/>
      </c>
      <c r="B37" s="13" t="str">
        <f>IF($A37="","",IF(IFERROR(INDEX(Baarn!$F$43:$F$129,MATCH($A37,Baarn!$C$43:$C$129,0)),"")&lt;&gt;"",IFERROR(INDEX(Baarn!$F$43:$F$129,MATCH($A37,Baarn!$C$43:$C$129,0)),""),IF(IFERROR(INDEX(Scherpenzeel!$F$210:$F$309,MATCH($A37,Scherpenzeel!$C$210:$C$309,0)),"")&lt;&gt;"",IFERROR(INDEX(Scherpenzeel!$F$210:$F$309,MATCH($A37,Scherpenzeel!$C$210:$C$309,0)),""),IF(IFERROR(INDEX('4'!$F$210:$F$309,MATCH($A37,'4'!$C$210:$C$309,0)),"")&lt;&gt;"",IFERROR(INDEX('4'!$F$210:$F$309,MATCH($A37,'4'!$C$210:$C$309,0)),""),IFERROR(INDEX('5'!$F$210:$F$309,MATCH($A37,'5'!$C$210:$C$309,0)),"")))))</f>
        <v/>
      </c>
      <c r="C37" s="24" t="str">
        <f>""</f>
        <v/>
      </c>
      <c r="D37" s="15">
        <f>0</f>
        <v>0</v>
      </c>
      <c r="E37" s="24" t="str">
        <f>IF($A37="","",IFERROR(INDEX(Baarn!$A$43:$A$129,MATCH($A37,Baarn!$C$43:$C$129,0)),""))</f>
        <v/>
      </c>
      <c r="F37" s="15">
        <f>IF($A37="",0,IFERROR(INDEX(Baarn!$I$43:$I$129,MATCH($A37,Baarn!$C$43:$C$129,0)),0))</f>
        <v>0</v>
      </c>
      <c r="G37" s="24" t="str">
        <f>IF($A37="","",IFERROR(INDEX(Scherpenzeel!$A$210:$A$309,MATCH($A37,Scherpenzeel!$C$210:$C$309,0)),""))</f>
        <v/>
      </c>
      <c r="H37" s="15">
        <f>IF($A37="",0,IFERROR(INDEX(Scherpenzeel!$I$210:$I$309,MATCH($A37,Scherpenzeel!$C$210:$C$309,0)),0))</f>
        <v>0</v>
      </c>
      <c r="I37" s="24" t="str">
        <f>IF($A37="","",IFERROR(INDEX('4'!$A$210:$A$309,MATCH($A37,'4'!$C$210:$C$309,0)),""))</f>
        <v/>
      </c>
      <c r="J37" s="15">
        <f>IF($A37="",0,IFERROR(INDEX('4'!$I$210:$I$309,MATCH($A37,'4'!$C$210:$C$309,0)),0))</f>
        <v>0</v>
      </c>
      <c r="K37" s="24" t="str">
        <f>IF($A37="","",IFERROR(INDEX('5'!$A$210:$A$309,MATCH($A37,'5'!$C$210:$C$309,0)),""))</f>
        <v/>
      </c>
      <c r="L37" s="15">
        <f>IF($A37="",0,IFERROR(INDEX('5'!$I$210:$I$309,MATCH($A37,'5'!$C$210:$C$309,0)),0))</f>
        <v>0</v>
      </c>
      <c r="M37" s="25" t="str">
        <f>IF($A37="","",D37+F37+H37+J37+L37)</f>
        <v/>
      </c>
      <c r="N37" s="26" t="str">
        <f>IF(OR($A37="",M37="",M37=0),"",RANK(M37,$M$4:$M$203,0))</f>
        <v/>
      </c>
      <c r="AA37">
        <f>Baarn!C79</f>
        <v>0</v>
      </c>
      <c r="AB37">
        <f>IF(AA37="",0,IF(COUNTIF($AA$1:AA37,AA37)=1,1,0))</f>
        <v>0</v>
      </c>
      <c r="AC37" t="str">
        <f>IF(AB37=1,COUNTIF($AB$1:AB37,1),"")</f>
        <v/>
      </c>
    </row>
    <row r="38" spans="1:29" x14ac:dyDescent="0.25">
      <c r="A38" s="13" t="str">
        <f>IFERROR(INDEX($AA$1:$AA$387,MATCH(35,$AC$1:$AC$387,0)),"")</f>
        <v/>
      </c>
      <c r="B38" s="13" t="str">
        <f>IF($A38="","",IF(IFERROR(INDEX(Baarn!$F$43:$F$129,MATCH($A38,Baarn!$C$43:$C$129,0)),"")&lt;&gt;"",IFERROR(INDEX(Baarn!$F$43:$F$129,MATCH($A38,Baarn!$C$43:$C$129,0)),""),IF(IFERROR(INDEX(Scherpenzeel!$F$210:$F$309,MATCH($A38,Scherpenzeel!$C$210:$C$309,0)),"")&lt;&gt;"",IFERROR(INDEX(Scherpenzeel!$F$210:$F$309,MATCH($A38,Scherpenzeel!$C$210:$C$309,0)),""),IF(IFERROR(INDEX('4'!$F$210:$F$309,MATCH($A38,'4'!$C$210:$C$309,0)),"")&lt;&gt;"",IFERROR(INDEX('4'!$F$210:$F$309,MATCH($A38,'4'!$C$210:$C$309,0)),""),IFERROR(INDEX('5'!$F$210:$F$309,MATCH($A38,'5'!$C$210:$C$309,0)),"")))))</f>
        <v/>
      </c>
      <c r="C38" s="24" t="str">
        <f>""</f>
        <v/>
      </c>
      <c r="D38" s="15">
        <f>0</f>
        <v>0</v>
      </c>
      <c r="E38" s="24" t="str">
        <f>IF($A38="","",IFERROR(INDEX(Baarn!$A$43:$A$129,MATCH($A38,Baarn!$C$43:$C$129,0)),""))</f>
        <v/>
      </c>
      <c r="F38" s="15">
        <f>IF($A38="",0,IFERROR(INDEX(Baarn!$I$43:$I$129,MATCH($A38,Baarn!$C$43:$C$129,0)),0))</f>
        <v>0</v>
      </c>
      <c r="G38" s="24" t="str">
        <f>IF($A38="","",IFERROR(INDEX(Scherpenzeel!$A$210:$A$309,MATCH($A38,Scherpenzeel!$C$210:$C$309,0)),""))</f>
        <v/>
      </c>
      <c r="H38" s="15">
        <f>IF($A38="",0,IFERROR(INDEX(Scherpenzeel!$I$210:$I$309,MATCH($A38,Scherpenzeel!$C$210:$C$309,0)),0))</f>
        <v>0</v>
      </c>
      <c r="I38" s="24" t="str">
        <f>IF($A38="","",IFERROR(INDEX('4'!$A$210:$A$309,MATCH($A38,'4'!$C$210:$C$309,0)),""))</f>
        <v/>
      </c>
      <c r="J38" s="15">
        <f>IF($A38="",0,IFERROR(INDEX('4'!$I$210:$I$309,MATCH($A38,'4'!$C$210:$C$309,0)),0))</f>
        <v>0</v>
      </c>
      <c r="K38" s="24" t="str">
        <f>IF($A38="","",IFERROR(INDEX('5'!$A$210:$A$309,MATCH($A38,'5'!$C$210:$C$309,0)),""))</f>
        <v/>
      </c>
      <c r="L38" s="15">
        <f>IF($A38="",0,IFERROR(INDEX('5'!$I$210:$I$309,MATCH($A38,'5'!$C$210:$C$309,0)),0))</f>
        <v>0</v>
      </c>
      <c r="M38" s="25" t="str">
        <f>IF($A38="","",D38+F38+H38+J38+L38)</f>
        <v/>
      </c>
      <c r="N38" s="26" t="str">
        <f>IF(OR($A38="",M38="",M38=0),"",RANK(M38,$M$4:$M$203,0))</f>
        <v/>
      </c>
      <c r="AA38">
        <f>Baarn!C80</f>
        <v>0</v>
      </c>
      <c r="AB38">
        <f>IF(AA38="",0,IF(COUNTIF($AA$1:AA38,AA38)=1,1,0))</f>
        <v>0</v>
      </c>
      <c r="AC38" t="str">
        <f>IF(AB38=1,COUNTIF($AB$1:AB38,1),"")</f>
        <v/>
      </c>
    </row>
    <row r="39" spans="1:29" x14ac:dyDescent="0.25">
      <c r="A39" s="13" t="str">
        <f>IFERROR(INDEX($AA$1:$AA$387,MATCH(36,$AC$1:$AC$387,0)),"")</f>
        <v/>
      </c>
      <c r="B39" s="13" t="str">
        <f>IF($A39="","",IF(IFERROR(INDEX(Baarn!$F$43:$F$129,MATCH($A39,Baarn!$C$43:$C$129,0)),"")&lt;&gt;"",IFERROR(INDEX(Baarn!$F$43:$F$129,MATCH($A39,Baarn!$C$43:$C$129,0)),""),IF(IFERROR(INDEX(Scherpenzeel!$F$210:$F$309,MATCH($A39,Scherpenzeel!$C$210:$C$309,0)),"")&lt;&gt;"",IFERROR(INDEX(Scherpenzeel!$F$210:$F$309,MATCH($A39,Scherpenzeel!$C$210:$C$309,0)),""),IF(IFERROR(INDEX('4'!$F$210:$F$309,MATCH($A39,'4'!$C$210:$C$309,0)),"")&lt;&gt;"",IFERROR(INDEX('4'!$F$210:$F$309,MATCH($A39,'4'!$C$210:$C$309,0)),""),IFERROR(INDEX('5'!$F$210:$F$309,MATCH($A39,'5'!$C$210:$C$309,0)),"")))))</f>
        <v/>
      </c>
      <c r="C39" s="24" t="str">
        <f>""</f>
        <v/>
      </c>
      <c r="D39" s="15">
        <f>0</f>
        <v>0</v>
      </c>
      <c r="E39" s="24" t="str">
        <f>IF($A39="","",IFERROR(INDEX(Baarn!$A$43:$A$129,MATCH($A39,Baarn!$C$43:$C$129,0)),""))</f>
        <v/>
      </c>
      <c r="F39" s="15">
        <f>IF($A39="",0,IFERROR(INDEX(Baarn!$I$43:$I$129,MATCH($A39,Baarn!$C$43:$C$129,0)),0))</f>
        <v>0</v>
      </c>
      <c r="G39" s="24" t="str">
        <f>IF($A39="","",IFERROR(INDEX(Scherpenzeel!$A$210:$A$309,MATCH($A39,Scherpenzeel!$C$210:$C$309,0)),""))</f>
        <v/>
      </c>
      <c r="H39" s="15">
        <f>IF($A39="",0,IFERROR(INDEX(Scherpenzeel!$I$210:$I$309,MATCH($A39,Scherpenzeel!$C$210:$C$309,0)),0))</f>
        <v>0</v>
      </c>
      <c r="I39" s="24" t="str">
        <f>IF($A39="","",IFERROR(INDEX('4'!$A$210:$A$309,MATCH($A39,'4'!$C$210:$C$309,0)),""))</f>
        <v/>
      </c>
      <c r="J39" s="15">
        <f>IF($A39="",0,IFERROR(INDEX('4'!$I$210:$I$309,MATCH($A39,'4'!$C$210:$C$309,0)),0))</f>
        <v>0</v>
      </c>
      <c r="K39" s="24" t="str">
        <f>IF($A39="","",IFERROR(INDEX('5'!$A$210:$A$309,MATCH($A39,'5'!$C$210:$C$309,0)),""))</f>
        <v/>
      </c>
      <c r="L39" s="15">
        <f>IF($A39="",0,IFERROR(INDEX('5'!$I$210:$I$309,MATCH($A39,'5'!$C$210:$C$309,0)),0))</f>
        <v>0</v>
      </c>
      <c r="M39" s="25" t="str">
        <f>IF($A39="","",D39+F39+H39+J39+L39)</f>
        <v/>
      </c>
      <c r="N39" s="26" t="str">
        <f>IF(OR($A39="",M39="",M39=0),"",RANK(M39,$M$4:$M$203,0))</f>
        <v/>
      </c>
      <c r="AA39">
        <f>Baarn!C81</f>
        <v>0</v>
      </c>
      <c r="AB39">
        <f>IF(AA39="",0,IF(COUNTIF($AA$1:AA39,AA39)=1,1,0))</f>
        <v>0</v>
      </c>
      <c r="AC39" t="str">
        <f>IF(AB39=1,COUNTIF($AB$1:AB39,1),"")</f>
        <v/>
      </c>
    </row>
    <row r="40" spans="1:29" x14ac:dyDescent="0.25">
      <c r="A40" s="13" t="str">
        <f>IFERROR(INDEX($AA$1:$AA$387,MATCH(37,$AC$1:$AC$387,0)),"")</f>
        <v/>
      </c>
      <c r="B40" s="13" t="str">
        <f>IF($A40="","",IF(IFERROR(INDEX(Baarn!$F$43:$F$129,MATCH($A40,Baarn!$C$43:$C$129,0)),"")&lt;&gt;"",IFERROR(INDEX(Baarn!$F$43:$F$129,MATCH($A40,Baarn!$C$43:$C$129,0)),""),IF(IFERROR(INDEX(Scherpenzeel!$F$210:$F$309,MATCH($A40,Scherpenzeel!$C$210:$C$309,0)),"")&lt;&gt;"",IFERROR(INDEX(Scherpenzeel!$F$210:$F$309,MATCH($A40,Scherpenzeel!$C$210:$C$309,0)),""),IF(IFERROR(INDEX('4'!$F$210:$F$309,MATCH($A40,'4'!$C$210:$C$309,0)),"")&lt;&gt;"",IFERROR(INDEX('4'!$F$210:$F$309,MATCH($A40,'4'!$C$210:$C$309,0)),""),IFERROR(INDEX('5'!$F$210:$F$309,MATCH($A40,'5'!$C$210:$C$309,0)),"")))))</f>
        <v/>
      </c>
      <c r="C40" s="24" t="str">
        <f>""</f>
        <v/>
      </c>
      <c r="D40" s="15">
        <f>0</f>
        <v>0</v>
      </c>
      <c r="E40" s="24" t="str">
        <f>IF($A40="","",IFERROR(INDEX(Baarn!$A$43:$A$129,MATCH($A40,Baarn!$C$43:$C$129,0)),""))</f>
        <v/>
      </c>
      <c r="F40" s="15">
        <f>IF($A40="",0,IFERROR(INDEX(Baarn!$I$43:$I$129,MATCH($A40,Baarn!$C$43:$C$129,0)),0))</f>
        <v>0</v>
      </c>
      <c r="G40" s="24" t="str">
        <f>IF($A40="","",IFERROR(INDEX(Scherpenzeel!$A$210:$A$309,MATCH($A40,Scherpenzeel!$C$210:$C$309,0)),""))</f>
        <v/>
      </c>
      <c r="H40" s="15">
        <f>IF($A40="",0,IFERROR(INDEX(Scherpenzeel!$I$210:$I$309,MATCH($A40,Scherpenzeel!$C$210:$C$309,0)),0))</f>
        <v>0</v>
      </c>
      <c r="I40" s="24" t="str">
        <f>IF($A40="","",IFERROR(INDEX('4'!$A$210:$A$309,MATCH($A40,'4'!$C$210:$C$309,0)),""))</f>
        <v/>
      </c>
      <c r="J40" s="15">
        <f>IF($A40="",0,IFERROR(INDEX('4'!$I$210:$I$309,MATCH($A40,'4'!$C$210:$C$309,0)),0))</f>
        <v>0</v>
      </c>
      <c r="K40" s="24" t="str">
        <f>IF($A40="","",IFERROR(INDEX('5'!$A$210:$A$309,MATCH($A40,'5'!$C$210:$C$309,0)),""))</f>
        <v/>
      </c>
      <c r="L40" s="15">
        <f>IF($A40="",0,IFERROR(INDEX('5'!$I$210:$I$309,MATCH($A40,'5'!$C$210:$C$309,0)),0))</f>
        <v>0</v>
      </c>
      <c r="M40" s="25" t="str">
        <f>IF($A40="","",D40+F40+H40+J40+L40)</f>
        <v/>
      </c>
      <c r="N40" s="26" t="str">
        <f>IF(OR($A40="",M40="",M40=0),"",RANK(M40,$M$4:$M$203,0))</f>
        <v/>
      </c>
      <c r="AA40">
        <f>Baarn!C82</f>
        <v>0</v>
      </c>
      <c r="AB40">
        <f>IF(AA40="",0,IF(COUNTIF($AA$1:AA40,AA40)=1,1,0))</f>
        <v>0</v>
      </c>
      <c r="AC40" t="str">
        <f>IF(AB40=1,COUNTIF($AB$1:AB40,1),"")</f>
        <v/>
      </c>
    </row>
    <row r="41" spans="1:29" x14ac:dyDescent="0.25">
      <c r="A41" s="13" t="str">
        <f>IFERROR(INDEX($AA$1:$AA$387,MATCH(38,$AC$1:$AC$387,0)),"")</f>
        <v/>
      </c>
      <c r="B41" s="13" t="str">
        <f>IF($A41="","",IF(IFERROR(INDEX(Baarn!$F$43:$F$129,MATCH($A41,Baarn!$C$43:$C$129,0)),"")&lt;&gt;"",IFERROR(INDEX(Baarn!$F$43:$F$129,MATCH($A41,Baarn!$C$43:$C$129,0)),""),IF(IFERROR(INDEX(Scherpenzeel!$F$210:$F$309,MATCH($A41,Scherpenzeel!$C$210:$C$309,0)),"")&lt;&gt;"",IFERROR(INDEX(Scherpenzeel!$F$210:$F$309,MATCH($A41,Scherpenzeel!$C$210:$C$309,0)),""),IF(IFERROR(INDEX('4'!$F$210:$F$309,MATCH($A41,'4'!$C$210:$C$309,0)),"")&lt;&gt;"",IFERROR(INDEX('4'!$F$210:$F$309,MATCH($A41,'4'!$C$210:$C$309,0)),""),IFERROR(INDEX('5'!$F$210:$F$309,MATCH($A41,'5'!$C$210:$C$309,0)),"")))))</f>
        <v/>
      </c>
      <c r="C41" s="24" t="str">
        <f>""</f>
        <v/>
      </c>
      <c r="D41" s="15">
        <f>0</f>
        <v>0</v>
      </c>
      <c r="E41" s="24" t="str">
        <f>IF($A41="","",IFERROR(INDEX(Baarn!$A$43:$A$129,MATCH($A41,Baarn!$C$43:$C$129,0)),""))</f>
        <v/>
      </c>
      <c r="F41" s="15">
        <f>IF($A41="",0,IFERROR(INDEX(Baarn!$I$43:$I$129,MATCH($A41,Baarn!$C$43:$C$129,0)),0))</f>
        <v>0</v>
      </c>
      <c r="G41" s="24" t="str">
        <f>IF($A41="","",IFERROR(INDEX(Scherpenzeel!$A$210:$A$309,MATCH($A41,Scherpenzeel!$C$210:$C$309,0)),""))</f>
        <v/>
      </c>
      <c r="H41" s="15">
        <f>IF($A41="",0,IFERROR(INDEX(Scherpenzeel!$I$210:$I$309,MATCH($A41,Scherpenzeel!$C$210:$C$309,0)),0))</f>
        <v>0</v>
      </c>
      <c r="I41" s="24" t="str">
        <f>IF($A41="","",IFERROR(INDEX('4'!$A$210:$A$309,MATCH($A41,'4'!$C$210:$C$309,0)),""))</f>
        <v/>
      </c>
      <c r="J41" s="15">
        <f>IF($A41="",0,IFERROR(INDEX('4'!$I$210:$I$309,MATCH($A41,'4'!$C$210:$C$309,0)),0))</f>
        <v>0</v>
      </c>
      <c r="K41" s="24" t="str">
        <f>IF($A41="","",IFERROR(INDEX('5'!$A$210:$A$309,MATCH($A41,'5'!$C$210:$C$309,0)),""))</f>
        <v/>
      </c>
      <c r="L41" s="15">
        <f>IF($A41="",0,IFERROR(INDEX('5'!$I$210:$I$309,MATCH($A41,'5'!$C$210:$C$309,0)),0))</f>
        <v>0</v>
      </c>
      <c r="M41" s="25" t="str">
        <f>IF($A41="","",D41+F41+H41+J41+L41)</f>
        <v/>
      </c>
      <c r="N41" s="26" t="str">
        <f>IF(OR($A41="",M41="",M41=0),"",RANK(M41,$M$4:$M$203,0))</f>
        <v/>
      </c>
      <c r="AA41">
        <f>Baarn!C83</f>
        <v>0</v>
      </c>
      <c r="AB41">
        <f>IF(AA41="",0,IF(COUNTIF($AA$1:AA41,AA41)=1,1,0))</f>
        <v>0</v>
      </c>
      <c r="AC41" t="str">
        <f>IF(AB41=1,COUNTIF($AB$1:AB41,1),"")</f>
        <v/>
      </c>
    </row>
    <row r="42" spans="1:29" x14ac:dyDescent="0.25">
      <c r="A42" s="13" t="str">
        <f>IFERROR(INDEX($AA$1:$AA$387,MATCH(39,$AC$1:$AC$387,0)),"")</f>
        <v/>
      </c>
      <c r="B42" s="13" t="str">
        <f>IF($A42="","",IF(IFERROR(INDEX(Baarn!$F$43:$F$129,MATCH($A42,Baarn!$C$43:$C$129,0)),"")&lt;&gt;"",IFERROR(INDEX(Baarn!$F$43:$F$129,MATCH($A42,Baarn!$C$43:$C$129,0)),""),IF(IFERROR(INDEX(Scherpenzeel!$F$210:$F$309,MATCH($A42,Scherpenzeel!$C$210:$C$309,0)),"")&lt;&gt;"",IFERROR(INDEX(Scherpenzeel!$F$210:$F$309,MATCH($A42,Scherpenzeel!$C$210:$C$309,0)),""),IF(IFERROR(INDEX('4'!$F$210:$F$309,MATCH($A42,'4'!$C$210:$C$309,0)),"")&lt;&gt;"",IFERROR(INDEX('4'!$F$210:$F$309,MATCH($A42,'4'!$C$210:$C$309,0)),""),IFERROR(INDEX('5'!$F$210:$F$309,MATCH($A42,'5'!$C$210:$C$309,0)),"")))))</f>
        <v/>
      </c>
      <c r="C42" s="24" t="str">
        <f>""</f>
        <v/>
      </c>
      <c r="D42" s="15">
        <f>0</f>
        <v>0</v>
      </c>
      <c r="E42" s="24" t="str">
        <f>IF($A42="","",IFERROR(INDEX(Baarn!$A$43:$A$129,MATCH($A42,Baarn!$C$43:$C$129,0)),""))</f>
        <v/>
      </c>
      <c r="F42" s="15">
        <f>IF($A42="",0,IFERROR(INDEX(Baarn!$I$43:$I$129,MATCH($A42,Baarn!$C$43:$C$129,0)),0))</f>
        <v>0</v>
      </c>
      <c r="G42" s="24" t="str">
        <f>IF($A42="","",IFERROR(INDEX(Scherpenzeel!$A$210:$A$309,MATCH($A42,Scherpenzeel!$C$210:$C$309,0)),""))</f>
        <v/>
      </c>
      <c r="H42" s="15">
        <f>IF($A42="",0,IFERROR(INDEX(Scherpenzeel!$I$210:$I$309,MATCH($A42,Scherpenzeel!$C$210:$C$309,0)),0))</f>
        <v>0</v>
      </c>
      <c r="I42" s="24" t="str">
        <f>IF($A42="","",IFERROR(INDEX('4'!$A$210:$A$309,MATCH($A42,'4'!$C$210:$C$309,0)),""))</f>
        <v/>
      </c>
      <c r="J42" s="15">
        <f>IF($A42="",0,IFERROR(INDEX('4'!$I$210:$I$309,MATCH($A42,'4'!$C$210:$C$309,0)),0))</f>
        <v>0</v>
      </c>
      <c r="K42" s="24" t="str">
        <f>IF($A42="","",IFERROR(INDEX('5'!$A$210:$A$309,MATCH($A42,'5'!$C$210:$C$309,0)),""))</f>
        <v/>
      </c>
      <c r="L42" s="15">
        <f>IF($A42="",0,IFERROR(INDEX('5'!$I$210:$I$309,MATCH($A42,'5'!$C$210:$C$309,0)),0))</f>
        <v>0</v>
      </c>
      <c r="M42" s="25" t="str">
        <f>IF($A42="","",D42+F42+H42+J42+L42)</f>
        <v/>
      </c>
      <c r="N42" s="26" t="str">
        <f>IF(OR($A42="",M42="",M42=0),"",RANK(M42,$M$4:$M$203,0))</f>
        <v/>
      </c>
      <c r="AA42">
        <f>Baarn!C84</f>
        <v>0</v>
      </c>
      <c r="AB42">
        <f>IF(AA42="",0,IF(COUNTIF($AA$1:AA42,AA42)=1,1,0))</f>
        <v>0</v>
      </c>
      <c r="AC42" t="str">
        <f>IF(AB42=1,COUNTIF($AB$1:AB42,1),"")</f>
        <v/>
      </c>
    </row>
    <row r="43" spans="1:29" x14ac:dyDescent="0.25">
      <c r="A43" s="13" t="str">
        <f>IFERROR(INDEX($AA$1:$AA$387,MATCH(40,$AC$1:$AC$387,0)),"")</f>
        <v/>
      </c>
      <c r="B43" s="13" t="str">
        <f>IF($A43="","",IF(IFERROR(INDEX(Baarn!$F$43:$F$129,MATCH($A43,Baarn!$C$43:$C$129,0)),"")&lt;&gt;"",IFERROR(INDEX(Baarn!$F$43:$F$129,MATCH($A43,Baarn!$C$43:$C$129,0)),""),IF(IFERROR(INDEX(Scherpenzeel!$F$210:$F$309,MATCH($A43,Scherpenzeel!$C$210:$C$309,0)),"")&lt;&gt;"",IFERROR(INDEX(Scherpenzeel!$F$210:$F$309,MATCH($A43,Scherpenzeel!$C$210:$C$309,0)),""),IF(IFERROR(INDEX('4'!$F$210:$F$309,MATCH($A43,'4'!$C$210:$C$309,0)),"")&lt;&gt;"",IFERROR(INDEX('4'!$F$210:$F$309,MATCH($A43,'4'!$C$210:$C$309,0)),""),IFERROR(INDEX('5'!$F$210:$F$309,MATCH($A43,'5'!$C$210:$C$309,0)),"")))))</f>
        <v/>
      </c>
      <c r="C43" s="24" t="str">
        <f>""</f>
        <v/>
      </c>
      <c r="D43" s="15">
        <f>0</f>
        <v>0</v>
      </c>
      <c r="E43" s="24" t="str">
        <f>IF($A43="","",IFERROR(INDEX(Baarn!$A$43:$A$129,MATCH($A43,Baarn!$C$43:$C$129,0)),""))</f>
        <v/>
      </c>
      <c r="F43" s="15">
        <f>IF($A43="",0,IFERROR(INDEX(Baarn!$I$43:$I$129,MATCH($A43,Baarn!$C$43:$C$129,0)),0))</f>
        <v>0</v>
      </c>
      <c r="G43" s="24" t="str">
        <f>IF($A43="","",IFERROR(INDEX(Scherpenzeel!$A$210:$A$309,MATCH($A43,Scherpenzeel!$C$210:$C$309,0)),""))</f>
        <v/>
      </c>
      <c r="H43" s="15">
        <f>IF($A43="",0,IFERROR(INDEX(Scherpenzeel!$I$210:$I$309,MATCH($A43,Scherpenzeel!$C$210:$C$309,0)),0))</f>
        <v>0</v>
      </c>
      <c r="I43" s="24" t="str">
        <f>IF($A43="","",IFERROR(INDEX('4'!$A$210:$A$309,MATCH($A43,'4'!$C$210:$C$309,0)),""))</f>
        <v/>
      </c>
      <c r="J43" s="15">
        <f>IF($A43="",0,IFERROR(INDEX('4'!$I$210:$I$309,MATCH($A43,'4'!$C$210:$C$309,0)),0))</f>
        <v>0</v>
      </c>
      <c r="K43" s="24" t="str">
        <f>IF($A43="","",IFERROR(INDEX('5'!$A$210:$A$309,MATCH($A43,'5'!$C$210:$C$309,0)),""))</f>
        <v/>
      </c>
      <c r="L43" s="15">
        <f>IF($A43="",0,IFERROR(INDEX('5'!$I$210:$I$309,MATCH($A43,'5'!$C$210:$C$309,0)),0))</f>
        <v>0</v>
      </c>
      <c r="M43" s="25" t="str">
        <f>IF($A43="","",D43+F43+H43+J43+L43)</f>
        <v/>
      </c>
      <c r="N43" s="26" t="str">
        <f>IF(OR($A43="",M43="",M43=0),"",RANK(M43,$M$4:$M$203,0))</f>
        <v/>
      </c>
      <c r="AA43">
        <f>Baarn!C85</f>
        <v>0</v>
      </c>
      <c r="AB43">
        <f>IF(AA43="",0,IF(COUNTIF($AA$1:AA43,AA43)=1,1,0))</f>
        <v>0</v>
      </c>
      <c r="AC43" t="str">
        <f>IF(AB43=1,COUNTIF($AB$1:AB43,1),"")</f>
        <v/>
      </c>
    </row>
    <row r="44" spans="1:29" x14ac:dyDescent="0.25">
      <c r="A44" s="13" t="str">
        <f>IFERROR(INDEX($AA$1:$AA$387,MATCH(41,$AC$1:$AC$387,0)),"")</f>
        <v/>
      </c>
      <c r="B44" s="13" t="str">
        <f>IF($A44="","",IF(IFERROR(INDEX(Baarn!$F$43:$F$129,MATCH($A44,Baarn!$C$43:$C$129,0)),"")&lt;&gt;"",IFERROR(INDEX(Baarn!$F$43:$F$129,MATCH($A44,Baarn!$C$43:$C$129,0)),""),IF(IFERROR(INDEX(Scherpenzeel!$F$210:$F$309,MATCH($A44,Scherpenzeel!$C$210:$C$309,0)),"")&lt;&gt;"",IFERROR(INDEX(Scherpenzeel!$F$210:$F$309,MATCH($A44,Scherpenzeel!$C$210:$C$309,0)),""),IF(IFERROR(INDEX('4'!$F$210:$F$309,MATCH($A44,'4'!$C$210:$C$309,0)),"")&lt;&gt;"",IFERROR(INDEX('4'!$F$210:$F$309,MATCH($A44,'4'!$C$210:$C$309,0)),""),IFERROR(INDEX('5'!$F$210:$F$309,MATCH($A44,'5'!$C$210:$C$309,0)),"")))))</f>
        <v/>
      </c>
      <c r="C44" s="24" t="str">
        <f>""</f>
        <v/>
      </c>
      <c r="D44" s="15">
        <f>0</f>
        <v>0</v>
      </c>
      <c r="E44" s="24" t="str">
        <f>IF($A44="","",IFERROR(INDEX(Baarn!$A$43:$A$129,MATCH($A44,Baarn!$C$43:$C$129,0)),""))</f>
        <v/>
      </c>
      <c r="F44" s="15">
        <f>IF($A44="",0,IFERROR(INDEX(Baarn!$I$43:$I$129,MATCH($A44,Baarn!$C$43:$C$129,0)),0))</f>
        <v>0</v>
      </c>
      <c r="G44" s="24" t="str">
        <f>IF($A44="","",IFERROR(INDEX(Scherpenzeel!$A$210:$A$309,MATCH($A44,Scherpenzeel!$C$210:$C$309,0)),""))</f>
        <v/>
      </c>
      <c r="H44" s="15">
        <f>IF($A44="",0,IFERROR(INDEX(Scherpenzeel!$I$210:$I$309,MATCH($A44,Scherpenzeel!$C$210:$C$309,0)),0))</f>
        <v>0</v>
      </c>
      <c r="I44" s="24" t="str">
        <f>IF($A44="","",IFERROR(INDEX('4'!$A$210:$A$309,MATCH($A44,'4'!$C$210:$C$309,0)),""))</f>
        <v/>
      </c>
      <c r="J44" s="15">
        <f>IF($A44="",0,IFERROR(INDEX('4'!$I$210:$I$309,MATCH($A44,'4'!$C$210:$C$309,0)),0))</f>
        <v>0</v>
      </c>
      <c r="K44" s="24" t="str">
        <f>IF($A44="","",IFERROR(INDEX('5'!$A$210:$A$309,MATCH($A44,'5'!$C$210:$C$309,0)),""))</f>
        <v/>
      </c>
      <c r="L44" s="15">
        <f>IF($A44="",0,IFERROR(INDEX('5'!$I$210:$I$309,MATCH($A44,'5'!$C$210:$C$309,0)),0))</f>
        <v>0</v>
      </c>
      <c r="M44" s="25" t="str">
        <f>IF($A44="","",D44+F44+H44+J44+L44)</f>
        <v/>
      </c>
      <c r="N44" s="26" t="str">
        <f>IF(OR($A44="",M44="",M44=0),"",RANK(M44,$M$4:$M$203,0))</f>
        <v/>
      </c>
      <c r="AA44">
        <f>Baarn!C86</f>
        <v>0</v>
      </c>
      <c r="AB44">
        <f>IF(AA44="",0,IF(COUNTIF($AA$1:AA44,AA44)=1,1,0))</f>
        <v>0</v>
      </c>
      <c r="AC44" t="str">
        <f>IF(AB44=1,COUNTIF($AB$1:AB44,1),"")</f>
        <v/>
      </c>
    </row>
    <row r="45" spans="1:29" x14ac:dyDescent="0.25">
      <c r="A45" s="13" t="str">
        <f>IFERROR(INDEX($AA$1:$AA$387,MATCH(42,$AC$1:$AC$387,0)),"")</f>
        <v/>
      </c>
      <c r="B45" s="13" t="str">
        <f>IF($A45="","",IF(IFERROR(INDEX(Baarn!$F$43:$F$129,MATCH($A45,Baarn!$C$43:$C$129,0)),"")&lt;&gt;"",IFERROR(INDEX(Baarn!$F$43:$F$129,MATCH($A45,Baarn!$C$43:$C$129,0)),""),IF(IFERROR(INDEX(Scherpenzeel!$F$210:$F$309,MATCH($A45,Scherpenzeel!$C$210:$C$309,0)),"")&lt;&gt;"",IFERROR(INDEX(Scherpenzeel!$F$210:$F$309,MATCH($A45,Scherpenzeel!$C$210:$C$309,0)),""),IF(IFERROR(INDEX('4'!$F$210:$F$309,MATCH($A45,'4'!$C$210:$C$309,0)),"")&lt;&gt;"",IFERROR(INDEX('4'!$F$210:$F$309,MATCH($A45,'4'!$C$210:$C$309,0)),""),IFERROR(INDEX('5'!$F$210:$F$309,MATCH($A45,'5'!$C$210:$C$309,0)),"")))))</f>
        <v/>
      </c>
      <c r="C45" s="24" t="str">
        <f>""</f>
        <v/>
      </c>
      <c r="D45" s="15">
        <f>0</f>
        <v>0</v>
      </c>
      <c r="E45" s="24" t="str">
        <f>IF($A45="","",IFERROR(INDEX(Baarn!$A$43:$A$129,MATCH($A45,Baarn!$C$43:$C$129,0)),""))</f>
        <v/>
      </c>
      <c r="F45" s="15">
        <f>IF($A45="",0,IFERROR(INDEX(Baarn!$I$43:$I$129,MATCH($A45,Baarn!$C$43:$C$129,0)),0))</f>
        <v>0</v>
      </c>
      <c r="G45" s="24" t="str">
        <f>IF($A45="","",IFERROR(INDEX(Scherpenzeel!$A$210:$A$309,MATCH($A45,Scherpenzeel!$C$210:$C$309,0)),""))</f>
        <v/>
      </c>
      <c r="H45" s="15">
        <f>IF($A45="",0,IFERROR(INDEX(Scherpenzeel!$I$210:$I$309,MATCH($A45,Scherpenzeel!$C$210:$C$309,0)),0))</f>
        <v>0</v>
      </c>
      <c r="I45" s="24" t="str">
        <f>IF($A45="","",IFERROR(INDEX('4'!$A$210:$A$309,MATCH($A45,'4'!$C$210:$C$309,0)),""))</f>
        <v/>
      </c>
      <c r="J45" s="15">
        <f>IF($A45="",0,IFERROR(INDEX('4'!$I$210:$I$309,MATCH($A45,'4'!$C$210:$C$309,0)),0))</f>
        <v>0</v>
      </c>
      <c r="K45" s="24" t="str">
        <f>IF($A45="","",IFERROR(INDEX('5'!$A$210:$A$309,MATCH($A45,'5'!$C$210:$C$309,0)),""))</f>
        <v/>
      </c>
      <c r="L45" s="15">
        <f>IF($A45="",0,IFERROR(INDEX('5'!$I$210:$I$309,MATCH($A45,'5'!$C$210:$C$309,0)),0))</f>
        <v>0</v>
      </c>
      <c r="M45" s="25" t="str">
        <f>IF($A45="","",D45+F45+H45+J45+L45)</f>
        <v/>
      </c>
      <c r="N45" s="26" t="str">
        <f>IF(OR($A45="",M45="",M45=0),"",RANK(M45,$M$4:$M$203,0))</f>
        <v/>
      </c>
      <c r="AA45">
        <f>Baarn!C87</f>
        <v>0</v>
      </c>
      <c r="AB45">
        <f>IF(AA45="",0,IF(COUNTIF($AA$1:AA45,AA45)=1,1,0))</f>
        <v>0</v>
      </c>
      <c r="AC45" t="str">
        <f>IF(AB45=1,COUNTIF($AB$1:AB45,1),"")</f>
        <v/>
      </c>
    </row>
    <row r="46" spans="1:29" x14ac:dyDescent="0.25">
      <c r="A46" s="13" t="str">
        <f>IFERROR(INDEX($AA$1:$AA$387,MATCH(43,$AC$1:$AC$387,0)),"")</f>
        <v/>
      </c>
      <c r="B46" s="13" t="str">
        <f>IF($A46="","",IF(IFERROR(INDEX(Baarn!$F$43:$F$129,MATCH($A46,Baarn!$C$43:$C$129,0)),"")&lt;&gt;"",IFERROR(INDEX(Baarn!$F$43:$F$129,MATCH($A46,Baarn!$C$43:$C$129,0)),""),IF(IFERROR(INDEX(Scherpenzeel!$F$210:$F$309,MATCH($A46,Scherpenzeel!$C$210:$C$309,0)),"")&lt;&gt;"",IFERROR(INDEX(Scherpenzeel!$F$210:$F$309,MATCH($A46,Scherpenzeel!$C$210:$C$309,0)),""),IF(IFERROR(INDEX('4'!$F$210:$F$309,MATCH($A46,'4'!$C$210:$C$309,0)),"")&lt;&gt;"",IFERROR(INDEX('4'!$F$210:$F$309,MATCH($A46,'4'!$C$210:$C$309,0)),""),IFERROR(INDEX('5'!$F$210:$F$309,MATCH($A46,'5'!$C$210:$C$309,0)),"")))))</f>
        <v/>
      </c>
      <c r="C46" s="24" t="str">
        <f>""</f>
        <v/>
      </c>
      <c r="D46" s="15">
        <f>0</f>
        <v>0</v>
      </c>
      <c r="E46" s="24" t="str">
        <f>IF($A46="","",IFERROR(INDEX(Baarn!$A$43:$A$129,MATCH($A46,Baarn!$C$43:$C$129,0)),""))</f>
        <v/>
      </c>
      <c r="F46" s="15">
        <f>IF($A46="",0,IFERROR(INDEX(Baarn!$I$43:$I$129,MATCH($A46,Baarn!$C$43:$C$129,0)),0))</f>
        <v>0</v>
      </c>
      <c r="G46" s="24" t="str">
        <f>IF($A46="","",IFERROR(INDEX(Scherpenzeel!$A$210:$A$309,MATCH($A46,Scherpenzeel!$C$210:$C$309,0)),""))</f>
        <v/>
      </c>
      <c r="H46" s="15">
        <f>IF($A46="",0,IFERROR(INDEX(Scherpenzeel!$I$210:$I$309,MATCH($A46,Scherpenzeel!$C$210:$C$309,0)),0))</f>
        <v>0</v>
      </c>
      <c r="I46" s="24" t="str">
        <f>IF($A46="","",IFERROR(INDEX('4'!$A$210:$A$309,MATCH($A46,'4'!$C$210:$C$309,0)),""))</f>
        <v/>
      </c>
      <c r="J46" s="15">
        <f>IF($A46="",0,IFERROR(INDEX('4'!$I$210:$I$309,MATCH($A46,'4'!$C$210:$C$309,0)),0))</f>
        <v>0</v>
      </c>
      <c r="K46" s="24" t="str">
        <f>IF($A46="","",IFERROR(INDEX('5'!$A$210:$A$309,MATCH($A46,'5'!$C$210:$C$309,0)),""))</f>
        <v/>
      </c>
      <c r="L46" s="15">
        <f>IF($A46="",0,IFERROR(INDEX('5'!$I$210:$I$309,MATCH($A46,'5'!$C$210:$C$309,0)),0))</f>
        <v>0</v>
      </c>
      <c r="M46" s="25" t="str">
        <f>IF($A46="","",D46+F46+H46+J46+L46)</f>
        <v/>
      </c>
      <c r="N46" s="26" t="str">
        <f>IF(OR($A46="",M46="",M46=0),"",RANK(M46,$M$4:$M$203,0))</f>
        <v/>
      </c>
      <c r="AA46">
        <f>Baarn!C88</f>
        <v>0</v>
      </c>
      <c r="AB46">
        <f>IF(AA46="",0,IF(COUNTIF($AA$1:AA46,AA46)=1,1,0))</f>
        <v>0</v>
      </c>
      <c r="AC46" t="str">
        <f>IF(AB46=1,COUNTIF($AB$1:AB46,1),"")</f>
        <v/>
      </c>
    </row>
    <row r="47" spans="1:29" x14ac:dyDescent="0.25">
      <c r="A47" s="13" t="str">
        <f>IFERROR(INDEX($AA$1:$AA$387,MATCH(44,$AC$1:$AC$387,0)),"")</f>
        <v/>
      </c>
      <c r="B47" s="13" t="str">
        <f>IF($A47="","",IF(IFERROR(INDEX(Baarn!$F$43:$F$129,MATCH($A47,Baarn!$C$43:$C$129,0)),"")&lt;&gt;"",IFERROR(INDEX(Baarn!$F$43:$F$129,MATCH($A47,Baarn!$C$43:$C$129,0)),""),IF(IFERROR(INDEX(Scherpenzeel!$F$210:$F$309,MATCH($A47,Scherpenzeel!$C$210:$C$309,0)),"")&lt;&gt;"",IFERROR(INDEX(Scherpenzeel!$F$210:$F$309,MATCH($A47,Scherpenzeel!$C$210:$C$309,0)),""),IF(IFERROR(INDEX('4'!$F$210:$F$309,MATCH($A47,'4'!$C$210:$C$309,0)),"")&lt;&gt;"",IFERROR(INDEX('4'!$F$210:$F$309,MATCH($A47,'4'!$C$210:$C$309,0)),""),IFERROR(INDEX('5'!$F$210:$F$309,MATCH($A47,'5'!$C$210:$C$309,0)),"")))))</f>
        <v/>
      </c>
      <c r="C47" s="24" t="str">
        <f>""</f>
        <v/>
      </c>
      <c r="D47" s="15">
        <f>0</f>
        <v>0</v>
      </c>
      <c r="E47" s="24" t="str">
        <f>IF($A47="","",IFERROR(INDEX(Baarn!$A$43:$A$129,MATCH($A47,Baarn!$C$43:$C$129,0)),""))</f>
        <v/>
      </c>
      <c r="F47" s="15">
        <f>IF($A47="",0,IFERROR(INDEX(Baarn!$I$43:$I$129,MATCH($A47,Baarn!$C$43:$C$129,0)),0))</f>
        <v>0</v>
      </c>
      <c r="G47" s="24" t="str">
        <f>IF($A47="","",IFERROR(INDEX(Scherpenzeel!$A$210:$A$309,MATCH($A47,Scherpenzeel!$C$210:$C$309,0)),""))</f>
        <v/>
      </c>
      <c r="H47" s="15">
        <f>IF($A47="",0,IFERROR(INDEX(Scherpenzeel!$I$210:$I$309,MATCH($A47,Scherpenzeel!$C$210:$C$309,0)),0))</f>
        <v>0</v>
      </c>
      <c r="I47" s="24" t="str">
        <f>IF($A47="","",IFERROR(INDEX('4'!$A$210:$A$309,MATCH($A47,'4'!$C$210:$C$309,0)),""))</f>
        <v/>
      </c>
      <c r="J47" s="15">
        <f>IF($A47="",0,IFERROR(INDEX('4'!$I$210:$I$309,MATCH($A47,'4'!$C$210:$C$309,0)),0))</f>
        <v>0</v>
      </c>
      <c r="K47" s="24" t="str">
        <f>IF($A47="","",IFERROR(INDEX('5'!$A$210:$A$309,MATCH($A47,'5'!$C$210:$C$309,0)),""))</f>
        <v/>
      </c>
      <c r="L47" s="15">
        <f>IF($A47="",0,IFERROR(INDEX('5'!$I$210:$I$309,MATCH($A47,'5'!$C$210:$C$309,0)),0))</f>
        <v>0</v>
      </c>
      <c r="M47" s="25" t="str">
        <f>IF($A47="","",D47+F47+H47+J47+L47)</f>
        <v/>
      </c>
      <c r="N47" s="26" t="str">
        <f>IF(OR($A47="",M47="",M47=0),"",RANK(M47,$M$4:$M$203,0))</f>
        <v/>
      </c>
      <c r="AA47">
        <f>Baarn!C89</f>
        <v>0</v>
      </c>
      <c r="AB47">
        <f>IF(AA47="",0,IF(COUNTIF($AA$1:AA47,AA47)=1,1,0))</f>
        <v>0</v>
      </c>
      <c r="AC47" t="str">
        <f>IF(AB47=1,COUNTIF($AB$1:AB47,1),"")</f>
        <v/>
      </c>
    </row>
    <row r="48" spans="1:29" x14ac:dyDescent="0.25">
      <c r="A48" s="13" t="str">
        <f>IFERROR(INDEX($AA$1:$AA$387,MATCH(45,$AC$1:$AC$387,0)),"")</f>
        <v/>
      </c>
      <c r="B48" s="13" t="str">
        <f>IF($A48="","",IF(IFERROR(INDEX(Baarn!$F$43:$F$129,MATCH($A48,Baarn!$C$43:$C$129,0)),"")&lt;&gt;"",IFERROR(INDEX(Baarn!$F$43:$F$129,MATCH($A48,Baarn!$C$43:$C$129,0)),""),IF(IFERROR(INDEX(Scherpenzeel!$F$210:$F$309,MATCH($A48,Scherpenzeel!$C$210:$C$309,0)),"")&lt;&gt;"",IFERROR(INDEX(Scherpenzeel!$F$210:$F$309,MATCH($A48,Scherpenzeel!$C$210:$C$309,0)),""),IF(IFERROR(INDEX('4'!$F$210:$F$309,MATCH($A48,'4'!$C$210:$C$309,0)),"")&lt;&gt;"",IFERROR(INDEX('4'!$F$210:$F$309,MATCH($A48,'4'!$C$210:$C$309,0)),""),IFERROR(INDEX('5'!$F$210:$F$309,MATCH($A48,'5'!$C$210:$C$309,0)),"")))))</f>
        <v/>
      </c>
      <c r="C48" s="24" t="str">
        <f>""</f>
        <v/>
      </c>
      <c r="D48" s="15">
        <f>0</f>
        <v>0</v>
      </c>
      <c r="E48" s="24" t="str">
        <f>IF($A48="","",IFERROR(INDEX(Baarn!$A$43:$A$129,MATCH($A48,Baarn!$C$43:$C$129,0)),""))</f>
        <v/>
      </c>
      <c r="F48" s="15">
        <f>IF($A48="",0,IFERROR(INDEX(Baarn!$I$43:$I$129,MATCH($A48,Baarn!$C$43:$C$129,0)),0))</f>
        <v>0</v>
      </c>
      <c r="G48" s="24" t="str">
        <f>IF($A48="","",IFERROR(INDEX(Scherpenzeel!$A$210:$A$309,MATCH($A48,Scherpenzeel!$C$210:$C$309,0)),""))</f>
        <v/>
      </c>
      <c r="H48" s="15">
        <f>IF($A48="",0,IFERROR(INDEX(Scherpenzeel!$I$210:$I$309,MATCH($A48,Scherpenzeel!$C$210:$C$309,0)),0))</f>
        <v>0</v>
      </c>
      <c r="I48" s="24" t="str">
        <f>IF($A48="","",IFERROR(INDEX('4'!$A$210:$A$309,MATCH($A48,'4'!$C$210:$C$309,0)),""))</f>
        <v/>
      </c>
      <c r="J48" s="15">
        <f>IF($A48="",0,IFERROR(INDEX('4'!$I$210:$I$309,MATCH($A48,'4'!$C$210:$C$309,0)),0))</f>
        <v>0</v>
      </c>
      <c r="K48" s="24" t="str">
        <f>IF($A48="","",IFERROR(INDEX('5'!$A$210:$A$309,MATCH($A48,'5'!$C$210:$C$309,0)),""))</f>
        <v/>
      </c>
      <c r="L48" s="15">
        <f>IF($A48="",0,IFERROR(INDEX('5'!$I$210:$I$309,MATCH($A48,'5'!$C$210:$C$309,0)),0))</f>
        <v>0</v>
      </c>
      <c r="M48" s="25" t="str">
        <f>IF($A48="","",D48+F48+H48+J48+L48)</f>
        <v/>
      </c>
      <c r="N48" s="26" t="str">
        <f>IF(OR($A48="",M48="",M48=0),"",RANK(M48,$M$4:$M$203,0))</f>
        <v/>
      </c>
      <c r="AA48">
        <f>Baarn!C90</f>
        <v>0</v>
      </c>
      <c r="AB48">
        <f>IF(AA48="",0,IF(COUNTIF($AA$1:AA48,AA48)=1,1,0))</f>
        <v>0</v>
      </c>
      <c r="AC48" t="str">
        <f>IF(AB48=1,COUNTIF($AB$1:AB48,1),"")</f>
        <v/>
      </c>
    </row>
    <row r="49" spans="1:29" x14ac:dyDescent="0.25">
      <c r="A49" s="13" t="str">
        <f>IFERROR(INDEX($AA$1:$AA$387,MATCH(46,$AC$1:$AC$387,0)),"")</f>
        <v/>
      </c>
      <c r="B49" s="13" t="str">
        <f>IF($A49="","",IF(IFERROR(INDEX(Baarn!$F$43:$F$129,MATCH($A49,Baarn!$C$43:$C$129,0)),"")&lt;&gt;"",IFERROR(INDEX(Baarn!$F$43:$F$129,MATCH($A49,Baarn!$C$43:$C$129,0)),""),IF(IFERROR(INDEX(Scherpenzeel!$F$210:$F$309,MATCH($A49,Scherpenzeel!$C$210:$C$309,0)),"")&lt;&gt;"",IFERROR(INDEX(Scherpenzeel!$F$210:$F$309,MATCH($A49,Scherpenzeel!$C$210:$C$309,0)),""),IF(IFERROR(INDEX('4'!$F$210:$F$309,MATCH($A49,'4'!$C$210:$C$309,0)),"")&lt;&gt;"",IFERROR(INDEX('4'!$F$210:$F$309,MATCH($A49,'4'!$C$210:$C$309,0)),""),IFERROR(INDEX('5'!$F$210:$F$309,MATCH($A49,'5'!$C$210:$C$309,0)),"")))))</f>
        <v/>
      </c>
      <c r="C49" s="24" t="str">
        <f>""</f>
        <v/>
      </c>
      <c r="D49" s="15">
        <f>0</f>
        <v>0</v>
      </c>
      <c r="E49" s="24" t="str">
        <f>IF($A49="","",IFERROR(INDEX(Baarn!$A$43:$A$129,MATCH($A49,Baarn!$C$43:$C$129,0)),""))</f>
        <v/>
      </c>
      <c r="F49" s="15">
        <f>IF($A49="",0,IFERROR(INDEX(Baarn!$I$43:$I$129,MATCH($A49,Baarn!$C$43:$C$129,0)),0))</f>
        <v>0</v>
      </c>
      <c r="G49" s="24" t="str">
        <f>IF($A49="","",IFERROR(INDEX(Scherpenzeel!$A$210:$A$309,MATCH($A49,Scherpenzeel!$C$210:$C$309,0)),""))</f>
        <v/>
      </c>
      <c r="H49" s="15">
        <f>IF($A49="",0,IFERROR(INDEX(Scherpenzeel!$I$210:$I$309,MATCH($A49,Scherpenzeel!$C$210:$C$309,0)),0))</f>
        <v>0</v>
      </c>
      <c r="I49" s="24" t="str">
        <f>IF($A49="","",IFERROR(INDEX('4'!$A$210:$A$309,MATCH($A49,'4'!$C$210:$C$309,0)),""))</f>
        <v/>
      </c>
      <c r="J49" s="15">
        <f>IF($A49="",0,IFERROR(INDEX('4'!$I$210:$I$309,MATCH($A49,'4'!$C$210:$C$309,0)),0))</f>
        <v>0</v>
      </c>
      <c r="K49" s="24" t="str">
        <f>IF($A49="","",IFERROR(INDEX('5'!$A$210:$A$309,MATCH($A49,'5'!$C$210:$C$309,0)),""))</f>
        <v/>
      </c>
      <c r="L49" s="15">
        <f>IF($A49="",0,IFERROR(INDEX('5'!$I$210:$I$309,MATCH($A49,'5'!$C$210:$C$309,0)),0))</f>
        <v>0</v>
      </c>
      <c r="M49" s="25" t="str">
        <f>IF($A49="","",D49+F49+H49+J49+L49)</f>
        <v/>
      </c>
      <c r="N49" s="26" t="str">
        <f>IF(OR($A49="",M49="",M49=0),"",RANK(M49,$M$4:$M$203,0))</f>
        <v/>
      </c>
      <c r="AA49">
        <f>Baarn!C91</f>
        <v>0</v>
      </c>
      <c r="AB49">
        <f>IF(AA49="",0,IF(COUNTIF($AA$1:AA49,AA49)=1,1,0))</f>
        <v>0</v>
      </c>
      <c r="AC49" t="str">
        <f>IF(AB49=1,COUNTIF($AB$1:AB49,1),"")</f>
        <v/>
      </c>
    </row>
    <row r="50" spans="1:29" x14ac:dyDescent="0.25">
      <c r="A50" s="13" t="str">
        <f>IFERROR(INDEX($AA$1:$AA$387,MATCH(47,$AC$1:$AC$387,0)),"")</f>
        <v/>
      </c>
      <c r="B50" s="13" t="str">
        <f>IF($A50="","",IF(IFERROR(INDEX(Baarn!$F$43:$F$129,MATCH($A50,Baarn!$C$43:$C$129,0)),"")&lt;&gt;"",IFERROR(INDEX(Baarn!$F$43:$F$129,MATCH($A50,Baarn!$C$43:$C$129,0)),""),IF(IFERROR(INDEX(Scherpenzeel!$F$210:$F$309,MATCH($A50,Scherpenzeel!$C$210:$C$309,0)),"")&lt;&gt;"",IFERROR(INDEX(Scherpenzeel!$F$210:$F$309,MATCH($A50,Scherpenzeel!$C$210:$C$309,0)),""),IF(IFERROR(INDEX('4'!$F$210:$F$309,MATCH($A50,'4'!$C$210:$C$309,0)),"")&lt;&gt;"",IFERROR(INDEX('4'!$F$210:$F$309,MATCH($A50,'4'!$C$210:$C$309,0)),""),IFERROR(INDEX('5'!$F$210:$F$309,MATCH($A50,'5'!$C$210:$C$309,0)),"")))))</f>
        <v/>
      </c>
      <c r="C50" s="24" t="str">
        <f>""</f>
        <v/>
      </c>
      <c r="D50" s="15">
        <f>0</f>
        <v>0</v>
      </c>
      <c r="E50" s="24" t="str">
        <f>IF($A50="","",IFERROR(INDEX(Baarn!$A$43:$A$129,MATCH($A50,Baarn!$C$43:$C$129,0)),""))</f>
        <v/>
      </c>
      <c r="F50" s="15">
        <f>IF($A50="",0,IFERROR(INDEX(Baarn!$I$43:$I$129,MATCH($A50,Baarn!$C$43:$C$129,0)),0))</f>
        <v>0</v>
      </c>
      <c r="G50" s="24" t="str">
        <f>IF($A50="","",IFERROR(INDEX(Scherpenzeel!$A$210:$A$309,MATCH($A50,Scherpenzeel!$C$210:$C$309,0)),""))</f>
        <v/>
      </c>
      <c r="H50" s="15">
        <f>IF($A50="",0,IFERROR(INDEX(Scherpenzeel!$I$210:$I$309,MATCH($A50,Scherpenzeel!$C$210:$C$309,0)),0))</f>
        <v>0</v>
      </c>
      <c r="I50" s="24" t="str">
        <f>IF($A50="","",IFERROR(INDEX('4'!$A$210:$A$309,MATCH($A50,'4'!$C$210:$C$309,0)),""))</f>
        <v/>
      </c>
      <c r="J50" s="15">
        <f>IF($A50="",0,IFERROR(INDEX('4'!$I$210:$I$309,MATCH($A50,'4'!$C$210:$C$309,0)),0))</f>
        <v>0</v>
      </c>
      <c r="K50" s="24" t="str">
        <f>IF($A50="","",IFERROR(INDEX('5'!$A$210:$A$309,MATCH($A50,'5'!$C$210:$C$309,0)),""))</f>
        <v/>
      </c>
      <c r="L50" s="15">
        <f>IF($A50="",0,IFERROR(INDEX('5'!$I$210:$I$309,MATCH($A50,'5'!$C$210:$C$309,0)),0))</f>
        <v>0</v>
      </c>
      <c r="M50" s="25" t="str">
        <f>IF($A50="","",D50+F50+H50+J50+L50)</f>
        <v/>
      </c>
      <c r="N50" s="26" t="str">
        <f>IF(OR($A50="",M50="",M50=0),"",RANK(M50,$M$4:$M$203,0))</f>
        <v/>
      </c>
      <c r="AA50">
        <f>Baarn!C92</f>
        <v>0</v>
      </c>
      <c r="AB50">
        <f>IF(AA50="",0,IF(COUNTIF($AA$1:AA50,AA50)=1,1,0))</f>
        <v>0</v>
      </c>
      <c r="AC50" t="str">
        <f>IF(AB50=1,COUNTIF($AB$1:AB50,1),"")</f>
        <v/>
      </c>
    </row>
    <row r="51" spans="1:29" x14ac:dyDescent="0.25">
      <c r="A51" s="13" t="str">
        <f>IFERROR(INDEX($AA$1:$AA$387,MATCH(48,$AC$1:$AC$387,0)),"")</f>
        <v/>
      </c>
      <c r="B51" s="13" t="str">
        <f>IF($A51="","",IF(IFERROR(INDEX(Baarn!$F$43:$F$129,MATCH($A51,Baarn!$C$43:$C$129,0)),"")&lt;&gt;"",IFERROR(INDEX(Baarn!$F$43:$F$129,MATCH($A51,Baarn!$C$43:$C$129,0)),""),IF(IFERROR(INDEX(Scherpenzeel!$F$210:$F$309,MATCH($A51,Scherpenzeel!$C$210:$C$309,0)),"")&lt;&gt;"",IFERROR(INDEX(Scherpenzeel!$F$210:$F$309,MATCH($A51,Scherpenzeel!$C$210:$C$309,0)),""),IF(IFERROR(INDEX('4'!$F$210:$F$309,MATCH($A51,'4'!$C$210:$C$309,0)),"")&lt;&gt;"",IFERROR(INDEX('4'!$F$210:$F$309,MATCH($A51,'4'!$C$210:$C$309,0)),""),IFERROR(INDEX('5'!$F$210:$F$309,MATCH($A51,'5'!$C$210:$C$309,0)),"")))))</f>
        <v/>
      </c>
      <c r="C51" s="24" t="str">
        <f>""</f>
        <v/>
      </c>
      <c r="D51" s="15">
        <f>0</f>
        <v>0</v>
      </c>
      <c r="E51" s="24" t="str">
        <f>IF($A51="","",IFERROR(INDEX(Baarn!$A$43:$A$129,MATCH($A51,Baarn!$C$43:$C$129,0)),""))</f>
        <v/>
      </c>
      <c r="F51" s="15">
        <f>IF($A51="",0,IFERROR(INDEX(Baarn!$I$43:$I$129,MATCH($A51,Baarn!$C$43:$C$129,0)),0))</f>
        <v>0</v>
      </c>
      <c r="G51" s="24" t="str">
        <f>IF($A51="","",IFERROR(INDEX(Scherpenzeel!$A$210:$A$309,MATCH($A51,Scherpenzeel!$C$210:$C$309,0)),""))</f>
        <v/>
      </c>
      <c r="H51" s="15">
        <f>IF($A51="",0,IFERROR(INDEX(Scherpenzeel!$I$210:$I$309,MATCH($A51,Scherpenzeel!$C$210:$C$309,0)),0))</f>
        <v>0</v>
      </c>
      <c r="I51" s="24" t="str">
        <f>IF($A51="","",IFERROR(INDEX('4'!$A$210:$A$309,MATCH($A51,'4'!$C$210:$C$309,0)),""))</f>
        <v/>
      </c>
      <c r="J51" s="15">
        <f>IF($A51="",0,IFERROR(INDEX('4'!$I$210:$I$309,MATCH($A51,'4'!$C$210:$C$309,0)),0))</f>
        <v>0</v>
      </c>
      <c r="K51" s="24" t="str">
        <f>IF($A51="","",IFERROR(INDEX('5'!$A$210:$A$309,MATCH($A51,'5'!$C$210:$C$309,0)),""))</f>
        <v/>
      </c>
      <c r="L51" s="15">
        <f>IF($A51="",0,IFERROR(INDEX('5'!$I$210:$I$309,MATCH($A51,'5'!$C$210:$C$309,0)),0))</f>
        <v>0</v>
      </c>
      <c r="M51" s="25" t="str">
        <f>IF($A51="","",D51+F51+H51+J51+L51)</f>
        <v/>
      </c>
      <c r="N51" s="26" t="str">
        <f>IF(OR($A51="",M51="",M51=0),"",RANK(M51,$M$4:$M$203,0))</f>
        <v/>
      </c>
      <c r="AA51">
        <f>Baarn!C93</f>
        <v>0</v>
      </c>
      <c r="AB51">
        <f>IF(AA51="",0,IF(COUNTIF($AA$1:AA51,AA51)=1,1,0))</f>
        <v>0</v>
      </c>
      <c r="AC51" t="str">
        <f>IF(AB51=1,COUNTIF($AB$1:AB51,1),"")</f>
        <v/>
      </c>
    </row>
    <row r="52" spans="1:29" x14ac:dyDescent="0.25">
      <c r="A52" s="13" t="str">
        <f>IFERROR(INDEX($AA$1:$AA$387,MATCH(49,$AC$1:$AC$387,0)),"")</f>
        <v/>
      </c>
      <c r="B52" s="13" t="str">
        <f>IF($A52="","",IF(IFERROR(INDEX(Baarn!$F$43:$F$129,MATCH($A52,Baarn!$C$43:$C$129,0)),"")&lt;&gt;"",IFERROR(INDEX(Baarn!$F$43:$F$129,MATCH($A52,Baarn!$C$43:$C$129,0)),""),IF(IFERROR(INDEX(Scherpenzeel!$F$210:$F$309,MATCH($A52,Scherpenzeel!$C$210:$C$309,0)),"")&lt;&gt;"",IFERROR(INDEX(Scherpenzeel!$F$210:$F$309,MATCH($A52,Scherpenzeel!$C$210:$C$309,0)),""),IF(IFERROR(INDEX('4'!$F$210:$F$309,MATCH($A52,'4'!$C$210:$C$309,0)),"")&lt;&gt;"",IFERROR(INDEX('4'!$F$210:$F$309,MATCH($A52,'4'!$C$210:$C$309,0)),""),IFERROR(INDEX('5'!$F$210:$F$309,MATCH($A52,'5'!$C$210:$C$309,0)),"")))))</f>
        <v/>
      </c>
      <c r="C52" s="24" t="str">
        <f>""</f>
        <v/>
      </c>
      <c r="D52" s="15">
        <f>0</f>
        <v>0</v>
      </c>
      <c r="E52" s="24" t="str">
        <f>IF($A52="","",IFERROR(INDEX(Baarn!$A$43:$A$129,MATCH($A52,Baarn!$C$43:$C$129,0)),""))</f>
        <v/>
      </c>
      <c r="F52" s="15">
        <f>IF($A52="",0,IFERROR(INDEX(Baarn!$I$43:$I$129,MATCH($A52,Baarn!$C$43:$C$129,0)),0))</f>
        <v>0</v>
      </c>
      <c r="G52" s="24" t="str">
        <f>IF($A52="","",IFERROR(INDEX(Scherpenzeel!$A$210:$A$309,MATCH($A52,Scherpenzeel!$C$210:$C$309,0)),""))</f>
        <v/>
      </c>
      <c r="H52" s="15">
        <f>IF($A52="",0,IFERROR(INDEX(Scherpenzeel!$I$210:$I$309,MATCH($A52,Scherpenzeel!$C$210:$C$309,0)),0))</f>
        <v>0</v>
      </c>
      <c r="I52" s="24" t="str">
        <f>IF($A52="","",IFERROR(INDEX('4'!$A$210:$A$309,MATCH($A52,'4'!$C$210:$C$309,0)),""))</f>
        <v/>
      </c>
      <c r="J52" s="15">
        <f>IF($A52="",0,IFERROR(INDEX('4'!$I$210:$I$309,MATCH($A52,'4'!$C$210:$C$309,0)),0))</f>
        <v>0</v>
      </c>
      <c r="K52" s="24" t="str">
        <f>IF($A52="","",IFERROR(INDEX('5'!$A$210:$A$309,MATCH($A52,'5'!$C$210:$C$309,0)),""))</f>
        <v/>
      </c>
      <c r="L52" s="15">
        <f>IF($A52="",0,IFERROR(INDEX('5'!$I$210:$I$309,MATCH($A52,'5'!$C$210:$C$309,0)),0))</f>
        <v>0</v>
      </c>
      <c r="M52" s="25" t="str">
        <f>IF($A52="","",D52+F52+H52+J52+L52)</f>
        <v/>
      </c>
      <c r="N52" s="26" t="str">
        <f>IF(OR($A52="",M52="",M52=0),"",RANK(M52,$M$4:$M$203,0))</f>
        <v/>
      </c>
      <c r="AA52">
        <f>Baarn!C94</f>
        <v>0</v>
      </c>
      <c r="AB52">
        <f>IF(AA52="",0,IF(COUNTIF($AA$1:AA52,AA52)=1,1,0))</f>
        <v>0</v>
      </c>
      <c r="AC52" t="str">
        <f>IF(AB52=1,COUNTIF($AB$1:AB52,1),"")</f>
        <v/>
      </c>
    </row>
    <row r="53" spans="1:29" x14ac:dyDescent="0.25">
      <c r="A53" s="13" t="str">
        <f>IFERROR(INDEX($AA$1:$AA$387,MATCH(50,$AC$1:$AC$387,0)),"")</f>
        <v/>
      </c>
      <c r="B53" s="13" t="str">
        <f>IF($A53="","",IF(IFERROR(INDEX(Baarn!$F$43:$F$129,MATCH($A53,Baarn!$C$43:$C$129,0)),"")&lt;&gt;"",IFERROR(INDEX(Baarn!$F$43:$F$129,MATCH($A53,Baarn!$C$43:$C$129,0)),""),IF(IFERROR(INDEX(Scherpenzeel!$F$210:$F$309,MATCH($A53,Scherpenzeel!$C$210:$C$309,0)),"")&lt;&gt;"",IFERROR(INDEX(Scherpenzeel!$F$210:$F$309,MATCH($A53,Scherpenzeel!$C$210:$C$309,0)),""),IF(IFERROR(INDEX('4'!$F$210:$F$309,MATCH($A53,'4'!$C$210:$C$309,0)),"")&lt;&gt;"",IFERROR(INDEX('4'!$F$210:$F$309,MATCH($A53,'4'!$C$210:$C$309,0)),""),IFERROR(INDEX('5'!$F$210:$F$309,MATCH($A53,'5'!$C$210:$C$309,0)),"")))))</f>
        <v/>
      </c>
      <c r="C53" s="24" t="str">
        <f>""</f>
        <v/>
      </c>
      <c r="D53" s="15">
        <f>0</f>
        <v>0</v>
      </c>
      <c r="E53" s="24" t="str">
        <f>IF($A53="","",IFERROR(INDEX(Baarn!$A$43:$A$129,MATCH($A53,Baarn!$C$43:$C$129,0)),""))</f>
        <v/>
      </c>
      <c r="F53" s="15">
        <f>IF($A53="",0,IFERROR(INDEX(Baarn!$I$43:$I$129,MATCH($A53,Baarn!$C$43:$C$129,0)),0))</f>
        <v>0</v>
      </c>
      <c r="G53" s="24" t="str">
        <f>IF($A53="","",IFERROR(INDEX(Scherpenzeel!$A$210:$A$309,MATCH($A53,Scherpenzeel!$C$210:$C$309,0)),""))</f>
        <v/>
      </c>
      <c r="H53" s="15">
        <f>IF($A53="",0,IFERROR(INDEX(Scherpenzeel!$I$210:$I$309,MATCH($A53,Scherpenzeel!$C$210:$C$309,0)),0))</f>
        <v>0</v>
      </c>
      <c r="I53" s="24" t="str">
        <f>IF($A53="","",IFERROR(INDEX('4'!$A$210:$A$309,MATCH($A53,'4'!$C$210:$C$309,0)),""))</f>
        <v/>
      </c>
      <c r="J53" s="15">
        <f>IF($A53="",0,IFERROR(INDEX('4'!$I$210:$I$309,MATCH($A53,'4'!$C$210:$C$309,0)),0))</f>
        <v>0</v>
      </c>
      <c r="K53" s="24" t="str">
        <f>IF($A53="","",IFERROR(INDEX('5'!$A$210:$A$309,MATCH($A53,'5'!$C$210:$C$309,0)),""))</f>
        <v/>
      </c>
      <c r="L53" s="15">
        <f>IF($A53="",0,IFERROR(INDEX('5'!$I$210:$I$309,MATCH($A53,'5'!$C$210:$C$309,0)),0))</f>
        <v>0</v>
      </c>
      <c r="M53" s="25" t="str">
        <f>IF($A53="","",D53+F53+H53+J53+L53)</f>
        <v/>
      </c>
      <c r="N53" s="26" t="str">
        <f>IF(OR($A53="",M53="",M53=0),"",RANK(M53,$M$4:$M$203,0))</f>
        <v/>
      </c>
      <c r="AA53">
        <f>Baarn!C95</f>
        <v>0</v>
      </c>
      <c r="AB53">
        <f>IF(AA53="",0,IF(COUNTIF($AA$1:AA53,AA53)=1,1,0))</f>
        <v>0</v>
      </c>
      <c r="AC53" t="str">
        <f>IF(AB53=1,COUNTIF($AB$1:AB53,1),"")</f>
        <v/>
      </c>
    </row>
    <row r="54" spans="1:29" x14ac:dyDescent="0.25">
      <c r="A54" s="13" t="str">
        <f>IFERROR(INDEX($AA$1:$AA$387,MATCH(51,$AC$1:$AC$387,0)),"")</f>
        <v/>
      </c>
      <c r="B54" s="13" t="str">
        <f>IF($A54="","",IF(IFERROR(INDEX(Baarn!$F$43:$F$129,MATCH($A54,Baarn!$C$43:$C$129,0)),"")&lt;&gt;"",IFERROR(INDEX(Baarn!$F$43:$F$129,MATCH($A54,Baarn!$C$43:$C$129,0)),""),IF(IFERROR(INDEX(Scherpenzeel!$F$210:$F$309,MATCH($A54,Scherpenzeel!$C$210:$C$309,0)),"")&lt;&gt;"",IFERROR(INDEX(Scherpenzeel!$F$210:$F$309,MATCH($A54,Scherpenzeel!$C$210:$C$309,0)),""),IF(IFERROR(INDEX('4'!$F$210:$F$309,MATCH($A54,'4'!$C$210:$C$309,0)),"")&lt;&gt;"",IFERROR(INDEX('4'!$F$210:$F$309,MATCH($A54,'4'!$C$210:$C$309,0)),""),IFERROR(INDEX('5'!$F$210:$F$309,MATCH($A54,'5'!$C$210:$C$309,0)),"")))))</f>
        <v/>
      </c>
      <c r="C54" s="24" t="str">
        <f>""</f>
        <v/>
      </c>
      <c r="D54" s="15">
        <f>0</f>
        <v>0</v>
      </c>
      <c r="E54" s="24" t="str">
        <f>IF($A54="","",IFERROR(INDEX(Baarn!$A$43:$A$129,MATCH($A54,Baarn!$C$43:$C$129,0)),""))</f>
        <v/>
      </c>
      <c r="F54" s="15">
        <f>IF($A54="",0,IFERROR(INDEX(Baarn!$I$43:$I$129,MATCH($A54,Baarn!$C$43:$C$129,0)),0))</f>
        <v>0</v>
      </c>
      <c r="G54" s="24" t="str">
        <f>IF($A54="","",IFERROR(INDEX(Scherpenzeel!$A$210:$A$309,MATCH($A54,Scherpenzeel!$C$210:$C$309,0)),""))</f>
        <v/>
      </c>
      <c r="H54" s="15">
        <f>IF($A54="",0,IFERROR(INDEX(Scherpenzeel!$I$210:$I$309,MATCH($A54,Scherpenzeel!$C$210:$C$309,0)),0))</f>
        <v>0</v>
      </c>
      <c r="I54" s="24" t="str">
        <f>IF($A54="","",IFERROR(INDEX('4'!$A$210:$A$309,MATCH($A54,'4'!$C$210:$C$309,0)),""))</f>
        <v/>
      </c>
      <c r="J54" s="15">
        <f>IF($A54="",0,IFERROR(INDEX('4'!$I$210:$I$309,MATCH($A54,'4'!$C$210:$C$309,0)),0))</f>
        <v>0</v>
      </c>
      <c r="K54" s="24" t="str">
        <f>IF($A54="","",IFERROR(INDEX('5'!$A$210:$A$309,MATCH($A54,'5'!$C$210:$C$309,0)),""))</f>
        <v/>
      </c>
      <c r="L54" s="15">
        <f>IF($A54="",0,IFERROR(INDEX('5'!$I$210:$I$309,MATCH($A54,'5'!$C$210:$C$309,0)),0))</f>
        <v>0</v>
      </c>
      <c r="M54" s="25" t="str">
        <f>IF($A54="","",D54+F54+H54+J54+L54)</f>
        <v/>
      </c>
      <c r="N54" s="26" t="str">
        <f>IF(OR($A54="",M54="",M54=0),"",RANK(M54,$M$4:$M$203,0))</f>
        <v/>
      </c>
      <c r="AA54">
        <f>Baarn!C96</f>
        <v>0</v>
      </c>
      <c r="AB54">
        <f>IF(AA54="",0,IF(COUNTIF($AA$1:AA54,AA54)=1,1,0))</f>
        <v>0</v>
      </c>
      <c r="AC54" t="str">
        <f>IF(AB54=1,COUNTIF($AB$1:AB54,1),"")</f>
        <v/>
      </c>
    </row>
    <row r="55" spans="1:29" x14ac:dyDescent="0.25">
      <c r="A55" s="13" t="str">
        <f>IFERROR(INDEX($AA$1:$AA$387,MATCH(52,$AC$1:$AC$387,0)),"")</f>
        <v/>
      </c>
      <c r="B55" s="13" t="str">
        <f>IF($A55="","",IF(IFERROR(INDEX(Baarn!$F$43:$F$129,MATCH($A55,Baarn!$C$43:$C$129,0)),"")&lt;&gt;"",IFERROR(INDEX(Baarn!$F$43:$F$129,MATCH($A55,Baarn!$C$43:$C$129,0)),""),IF(IFERROR(INDEX(Scherpenzeel!$F$210:$F$309,MATCH($A55,Scherpenzeel!$C$210:$C$309,0)),"")&lt;&gt;"",IFERROR(INDEX(Scherpenzeel!$F$210:$F$309,MATCH($A55,Scherpenzeel!$C$210:$C$309,0)),""),IF(IFERROR(INDEX('4'!$F$210:$F$309,MATCH($A55,'4'!$C$210:$C$309,0)),"")&lt;&gt;"",IFERROR(INDEX('4'!$F$210:$F$309,MATCH($A55,'4'!$C$210:$C$309,0)),""),IFERROR(INDEX('5'!$F$210:$F$309,MATCH($A55,'5'!$C$210:$C$309,0)),"")))))</f>
        <v/>
      </c>
      <c r="C55" s="24" t="str">
        <f>""</f>
        <v/>
      </c>
      <c r="D55" s="15">
        <f>0</f>
        <v>0</v>
      </c>
      <c r="E55" s="24" t="str">
        <f>IF($A55="","",IFERROR(INDEX(Baarn!$A$43:$A$129,MATCH($A55,Baarn!$C$43:$C$129,0)),""))</f>
        <v/>
      </c>
      <c r="F55" s="15">
        <f>IF($A55="",0,IFERROR(INDEX(Baarn!$I$43:$I$129,MATCH($A55,Baarn!$C$43:$C$129,0)),0))</f>
        <v>0</v>
      </c>
      <c r="G55" s="24" t="str">
        <f>IF($A55="","",IFERROR(INDEX(Scherpenzeel!$A$210:$A$309,MATCH($A55,Scherpenzeel!$C$210:$C$309,0)),""))</f>
        <v/>
      </c>
      <c r="H55" s="15">
        <f>IF($A55="",0,IFERROR(INDEX(Scherpenzeel!$I$210:$I$309,MATCH($A55,Scherpenzeel!$C$210:$C$309,0)),0))</f>
        <v>0</v>
      </c>
      <c r="I55" s="24" t="str">
        <f>IF($A55="","",IFERROR(INDEX('4'!$A$210:$A$309,MATCH($A55,'4'!$C$210:$C$309,0)),""))</f>
        <v/>
      </c>
      <c r="J55" s="15">
        <f>IF($A55="",0,IFERROR(INDEX('4'!$I$210:$I$309,MATCH($A55,'4'!$C$210:$C$309,0)),0))</f>
        <v>0</v>
      </c>
      <c r="K55" s="24" t="str">
        <f>IF($A55="","",IFERROR(INDEX('5'!$A$210:$A$309,MATCH($A55,'5'!$C$210:$C$309,0)),""))</f>
        <v/>
      </c>
      <c r="L55" s="15">
        <f>IF($A55="",0,IFERROR(INDEX('5'!$I$210:$I$309,MATCH($A55,'5'!$C$210:$C$309,0)),0))</f>
        <v>0</v>
      </c>
      <c r="M55" s="25" t="str">
        <f>IF($A55="","",D55+F55+H55+J55+L55)</f>
        <v/>
      </c>
      <c r="N55" s="26" t="str">
        <f>IF(OR($A55="",M55="",M55=0),"",RANK(M55,$M$4:$M$203,0))</f>
        <v/>
      </c>
      <c r="AA55">
        <f>Baarn!C97</f>
        <v>0</v>
      </c>
      <c r="AB55">
        <f>IF(AA55="",0,IF(COUNTIF($AA$1:AA55,AA55)=1,1,0))</f>
        <v>0</v>
      </c>
      <c r="AC55" t="str">
        <f>IF(AB55=1,COUNTIF($AB$1:AB55,1),"")</f>
        <v/>
      </c>
    </row>
    <row r="56" spans="1:29" x14ac:dyDescent="0.25">
      <c r="A56" s="13" t="str">
        <f>IFERROR(INDEX($AA$1:$AA$387,MATCH(53,$AC$1:$AC$387,0)),"")</f>
        <v/>
      </c>
      <c r="B56" s="13" t="str">
        <f>IF($A56="","",IF(IFERROR(INDEX(Baarn!$F$43:$F$129,MATCH($A56,Baarn!$C$43:$C$129,0)),"")&lt;&gt;"",IFERROR(INDEX(Baarn!$F$43:$F$129,MATCH($A56,Baarn!$C$43:$C$129,0)),""),IF(IFERROR(INDEX(Scherpenzeel!$F$210:$F$309,MATCH($A56,Scherpenzeel!$C$210:$C$309,0)),"")&lt;&gt;"",IFERROR(INDEX(Scherpenzeel!$F$210:$F$309,MATCH($A56,Scherpenzeel!$C$210:$C$309,0)),""),IF(IFERROR(INDEX('4'!$F$210:$F$309,MATCH($A56,'4'!$C$210:$C$309,0)),"")&lt;&gt;"",IFERROR(INDEX('4'!$F$210:$F$309,MATCH($A56,'4'!$C$210:$C$309,0)),""),IFERROR(INDEX('5'!$F$210:$F$309,MATCH($A56,'5'!$C$210:$C$309,0)),"")))))</f>
        <v/>
      </c>
      <c r="C56" s="24" t="str">
        <f>""</f>
        <v/>
      </c>
      <c r="D56" s="15">
        <f>0</f>
        <v>0</v>
      </c>
      <c r="E56" s="24" t="str">
        <f>IF($A56="","",IFERROR(INDEX(Baarn!$A$43:$A$129,MATCH($A56,Baarn!$C$43:$C$129,0)),""))</f>
        <v/>
      </c>
      <c r="F56" s="15">
        <f>IF($A56="",0,IFERROR(INDEX(Baarn!$I$43:$I$129,MATCH($A56,Baarn!$C$43:$C$129,0)),0))</f>
        <v>0</v>
      </c>
      <c r="G56" s="24" t="str">
        <f>IF($A56="","",IFERROR(INDEX(Scherpenzeel!$A$210:$A$309,MATCH($A56,Scherpenzeel!$C$210:$C$309,0)),""))</f>
        <v/>
      </c>
      <c r="H56" s="15">
        <f>IF($A56="",0,IFERROR(INDEX(Scherpenzeel!$I$210:$I$309,MATCH($A56,Scherpenzeel!$C$210:$C$309,0)),0))</f>
        <v>0</v>
      </c>
      <c r="I56" s="24" t="str">
        <f>IF($A56="","",IFERROR(INDEX('4'!$A$210:$A$309,MATCH($A56,'4'!$C$210:$C$309,0)),""))</f>
        <v/>
      </c>
      <c r="J56" s="15">
        <f>IF($A56="",0,IFERROR(INDEX('4'!$I$210:$I$309,MATCH($A56,'4'!$C$210:$C$309,0)),0))</f>
        <v>0</v>
      </c>
      <c r="K56" s="24" t="str">
        <f>IF($A56="","",IFERROR(INDEX('5'!$A$210:$A$309,MATCH($A56,'5'!$C$210:$C$309,0)),""))</f>
        <v/>
      </c>
      <c r="L56" s="15">
        <f>IF($A56="",0,IFERROR(INDEX('5'!$I$210:$I$309,MATCH($A56,'5'!$C$210:$C$309,0)),0))</f>
        <v>0</v>
      </c>
      <c r="M56" s="25" t="str">
        <f>IF($A56="","",D56+F56+H56+J56+L56)</f>
        <v/>
      </c>
      <c r="N56" s="26" t="str">
        <f>IF(OR($A56="",M56="",M56=0),"",RANK(M56,$M$4:$M$203,0))</f>
        <v/>
      </c>
      <c r="AA56">
        <f>Baarn!C98</f>
        <v>0</v>
      </c>
      <c r="AB56">
        <f>IF(AA56="",0,IF(COUNTIF($AA$1:AA56,AA56)=1,1,0))</f>
        <v>0</v>
      </c>
      <c r="AC56" t="str">
        <f>IF(AB56=1,COUNTIF($AB$1:AB56,1),"")</f>
        <v/>
      </c>
    </row>
    <row r="57" spans="1:29" x14ac:dyDescent="0.25">
      <c r="A57" s="13" t="str">
        <f>IFERROR(INDEX($AA$1:$AA$387,MATCH(54,$AC$1:$AC$387,0)),"")</f>
        <v/>
      </c>
      <c r="B57" s="13" t="str">
        <f>IF($A57="","",IF(IFERROR(INDEX(Baarn!$F$43:$F$129,MATCH($A57,Baarn!$C$43:$C$129,0)),"")&lt;&gt;"",IFERROR(INDEX(Baarn!$F$43:$F$129,MATCH($A57,Baarn!$C$43:$C$129,0)),""),IF(IFERROR(INDEX(Scherpenzeel!$F$210:$F$309,MATCH($A57,Scherpenzeel!$C$210:$C$309,0)),"")&lt;&gt;"",IFERROR(INDEX(Scherpenzeel!$F$210:$F$309,MATCH($A57,Scherpenzeel!$C$210:$C$309,0)),""),IF(IFERROR(INDEX('4'!$F$210:$F$309,MATCH($A57,'4'!$C$210:$C$309,0)),"")&lt;&gt;"",IFERROR(INDEX('4'!$F$210:$F$309,MATCH($A57,'4'!$C$210:$C$309,0)),""),IFERROR(INDEX('5'!$F$210:$F$309,MATCH($A57,'5'!$C$210:$C$309,0)),"")))))</f>
        <v/>
      </c>
      <c r="C57" s="24" t="str">
        <f>""</f>
        <v/>
      </c>
      <c r="D57" s="15">
        <f>0</f>
        <v>0</v>
      </c>
      <c r="E57" s="24" t="str">
        <f>IF($A57="","",IFERROR(INDEX(Baarn!$A$43:$A$129,MATCH($A57,Baarn!$C$43:$C$129,0)),""))</f>
        <v/>
      </c>
      <c r="F57" s="15">
        <f>IF($A57="",0,IFERROR(INDEX(Baarn!$I$43:$I$129,MATCH($A57,Baarn!$C$43:$C$129,0)),0))</f>
        <v>0</v>
      </c>
      <c r="G57" s="24" t="str">
        <f>IF($A57="","",IFERROR(INDEX(Scherpenzeel!$A$210:$A$309,MATCH($A57,Scherpenzeel!$C$210:$C$309,0)),""))</f>
        <v/>
      </c>
      <c r="H57" s="15">
        <f>IF($A57="",0,IFERROR(INDEX(Scherpenzeel!$I$210:$I$309,MATCH($A57,Scherpenzeel!$C$210:$C$309,0)),0))</f>
        <v>0</v>
      </c>
      <c r="I57" s="24" t="str">
        <f>IF($A57="","",IFERROR(INDEX('4'!$A$210:$A$309,MATCH($A57,'4'!$C$210:$C$309,0)),""))</f>
        <v/>
      </c>
      <c r="J57" s="15">
        <f>IF($A57="",0,IFERROR(INDEX('4'!$I$210:$I$309,MATCH($A57,'4'!$C$210:$C$309,0)),0))</f>
        <v>0</v>
      </c>
      <c r="K57" s="24" t="str">
        <f>IF($A57="","",IFERROR(INDEX('5'!$A$210:$A$309,MATCH($A57,'5'!$C$210:$C$309,0)),""))</f>
        <v/>
      </c>
      <c r="L57" s="15">
        <f>IF($A57="",0,IFERROR(INDEX('5'!$I$210:$I$309,MATCH($A57,'5'!$C$210:$C$309,0)),0))</f>
        <v>0</v>
      </c>
      <c r="M57" s="25" t="str">
        <f>IF($A57="","",D57+F57+H57+J57+L57)</f>
        <v/>
      </c>
      <c r="N57" s="26" t="str">
        <f>IF(OR($A57="",M57="",M57=0),"",RANK(M57,$M$4:$M$203,0))</f>
        <v/>
      </c>
      <c r="AA57">
        <f>Baarn!C99</f>
        <v>0</v>
      </c>
      <c r="AB57">
        <f>IF(AA57="",0,IF(COUNTIF($AA$1:AA57,AA57)=1,1,0))</f>
        <v>0</v>
      </c>
      <c r="AC57" t="str">
        <f>IF(AB57=1,COUNTIF($AB$1:AB57,1),"")</f>
        <v/>
      </c>
    </row>
    <row r="58" spans="1:29" x14ac:dyDescent="0.25">
      <c r="A58" s="13" t="str">
        <f>IFERROR(INDEX($AA$1:$AA$387,MATCH(55,$AC$1:$AC$387,0)),"")</f>
        <v/>
      </c>
      <c r="B58" s="13" t="str">
        <f>IF($A58="","",IF(IFERROR(INDEX(Baarn!$F$43:$F$129,MATCH($A58,Baarn!$C$43:$C$129,0)),"")&lt;&gt;"",IFERROR(INDEX(Baarn!$F$43:$F$129,MATCH($A58,Baarn!$C$43:$C$129,0)),""),IF(IFERROR(INDEX(Scherpenzeel!$F$210:$F$309,MATCH($A58,Scherpenzeel!$C$210:$C$309,0)),"")&lt;&gt;"",IFERROR(INDEX(Scherpenzeel!$F$210:$F$309,MATCH($A58,Scherpenzeel!$C$210:$C$309,0)),""),IF(IFERROR(INDEX('4'!$F$210:$F$309,MATCH($A58,'4'!$C$210:$C$309,0)),"")&lt;&gt;"",IFERROR(INDEX('4'!$F$210:$F$309,MATCH($A58,'4'!$C$210:$C$309,0)),""),IFERROR(INDEX('5'!$F$210:$F$309,MATCH($A58,'5'!$C$210:$C$309,0)),"")))))</f>
        <v/>
      </c>
      <c r="C58" s="24" t="str">
        <f>""</f>
        <v/>
      </c>
      <c r="D58" s="15">
        <f>0</f>
        <v>0</v>
      </c>
      <c r="E58" s="24" t="str">
        <f>IF($A58="","",IFERROR(INDEX(Baarn!$A$43:$A$129,MATCH($A58,Baarn!$C$43:$C$129,0)),""))</f>
        <v/>
      </c>
      <c r="F58" s="15">
        <f>IF($A58="",0,IFERROR(INDEX(Baarn!$I$43:$I$129,MATCH($A58,Baarn!$C$43:$C$129,0)),0))</f>
        <v>0</v>
      </c>
      <c r="G58" s="24" t="str">
        <f>IF($A58="","",IFERROR(INDEX(Scherpenzeel!$A$210:$A$309,MATCH($A58,Scherpenzeel!$C$210:$C$309,0)),""))</f>
        <v/>
      </c>
      <c r="H58" s="15">
        <f>IF($A58="",0,IFERROR(INDEX(Scherpenzeel!$I$210:$I$309,MATCH($A58,Scherpenzeel!$C$210:$C$309,0)),0))</f>
        <v>0</v>
      </c>
      <c r="I58" s="24" t="str">
        <f>IF($A58="","",IFERROR(INDEX('4'!$A$210:$A$309,MATCH($A58,'4'!$C$210:$C$309,0)),""))</f>
        <v/>
      </c>
      <c r="J58" s="15">
        <f>IF($A58="",0,IFERROR(INDEX('4'!$I$210:$I$309,MATCH($A58,'4'!$C$210:$C$309,0)),0))</f>
        <v>0</v>
      </c>
      <c r="K58" s="24" t="str">
        <f>IF($A58="","",IFERROR(INDEX('5'!$A$210:$A$309,MATCH($A58,'5'!$C$210:$C$309,0)),""))</f>
        <v/>
      </c>
      <c r="L58" s="15">
        <f>IF($A58="",0,IFERROR(INDEX('5'!$I$210:$I$309,MATCH($A58,'5'!$C$210:$C$309,0)),0))</f>
        <v>0</v>
      </c>
      <c r="M58" s="25" t="str">
        <f>IF($A58="","",D58+F58+H58+J58+L58)</f>
        <v/>
      </c>
      <c r="N58" s="26" t="str">
        <f>IF(OR($A58="",M58="",M58=0),"",RANK(M58,$M$4:$M$203,0))</f>
        <v/>
      </c>
      <c r="AA58">
        <f>Baarn!C100</f>
        <v>0</v>
      </c>
      <c r="AB58">
        <f>IF(AA58="",0,IF(COUNTIF($AA$1:AA58,AA58)=1,1,0))</f>
        <v>0</v>
      </c>
      <c r="AC58" t="str">
        <f>IF(AB58=1,COUNTIF($AB$1:AB58,1),"")</f>
        <v/>
      </c>
    </row>
    <row r="59" spans="1:29" x14ac:dyDescent="0.25">
      <c r="A59" s="13" t="str">
        <f>IFERROR(INDEX($AA$1:$AA$387,MATCH(56,$AC$1:$AC$387,0)),"")</f>
        <v/>
      </c>
      <c r="B59" s="13" t="str">
        <f>IF($A59="","",IF(IFERROR(INDEX(Baarn!$F$43:$F$129,MATCH($A59,Baarn!$C$43:$C$129,0)),"")&lt;&gt;"",IFERROR(INDEX(Baarn!$F$43:$F$129,MATCH($A59,Baarn!$C$43:$C$129,0)),""),IF(IFERROR(INDEX(Scherpenzeel!$F$210:$F$309,MATCH($A59,Scherpenzeel!$C$210:$C$309,0)),"")&lt;&gt;"",IFERROR(INDEX(Scherpenzeel!$F$210:$F$309,MATCH($A59,Scherpenzeel!$C$210:$C$309,0)),""),IF(IFERROR(INDEX('4'!$F$210:$F$309,MATCH($A59,'4'!$C$210:$C$309,0)),"")&lt;&gt;"",IFERROR(INDEX('4'!$F$210:$F$309,MATCH($A59,'4'!$C$210:$C$309,0)),""),IFERROR(INDEX('5'!$F$210:$F$309,MATCH($A59,'5'!$C$210:$C$309,0)),"")))))</f>
        <v/>
      </c>
      <c r="C59" s="24" t="str">
        <f>""</f>
        <v/>
      </c>
      <c r="D59" s="15">
        <f>0</f>
        <v>0</v>
      </c>
      <c r="E59" s="24" t="str">
        <f>IF($A59="","",IFERROR(INDEX(Baarn!$A$43:$A$129,MATCH($A59,Baarn!$C$43:$C$129,0)),""))</f>
        <v/>
      </c>
      <c r="F59" s="15">
        <f>IF($A59="",0,IFERROR(INDEX(Baarn!$I$43:$I$129,MATCH($A59,Baarn!$C$43:$C$129,0)),0))</f>
        <v>0</v>
      </c>
      <c r="G59" s="24" t="str">
        <f>IF($A59="","",IFERROR(INDEX(Scherpenzeel!$A$210:$A$309,MATCH($A59,Scherpenzeel!$C$210:$C$309,0)),""))</f>
        <v/>
      </c>
      <c r="H59" s="15">
        <f>IF($A59="",0,IFERROR(INDEX(Scherpenzeel!$I$210:$I$309,MATCH($A59,Scherpenzeel!$C$210:$C$309,0)),0))</f>
        <v>0</v>
      </c>
      <c r="I59" s="24" t="str">
        <f>IF($A59="","",IFERROR(INDEX('4'!$A$210:$A$309,MATCH($A59,'4'!$C$210:$C$309,0)),""))</f>
        <v/>
      </c>
      <c r="J59" s="15">
        <f>IF($A59="",0,IFERROR(INDEX('4'!$I$210:$I$309,MATCH($A59,'4'!$C$210:$C$309,0)),0))</f>
        <v>0</v>
      </c>
      <c r="K59" s="24" t="str">
        <f>IF($A59="","",IFERROR(INDEX('5'!$A$210:$A$309,MATCH($A59,'5'!$C$210:$C$309,0)),""))</f>
        <v/>
      </c>
      <c r="L59" s="15">
        <f>IF($A59="",0,IFERROR(INDEX('5'!$I$210:$I$309,MATCH($A59,'5'!$C$210:$C$309,0)),0))</f>
        <v>0</v>
      </c>
      <c r="M59" s="25" t="str">
        <f>IF($A59="","",D59+F59+H59+J59+L59)</f>
        <v/>
      </c>
      <c r="N59" s="26" t="str">
        <f>IF(OR($A59="",M59="",M59=0),"",RANK(M59,$M$4:$M$203,0))</f>
        <v/>
      </c>
      <c r="AA59">
        <f>Baarn!C101</f>
        <v>0</v>
      </c>
      <c r="AB59">
        <f>IF(AA59="",0,IF(COUNTIF($AA$1:AA59,AA59)=1,1,0))</f>
        <v>0</v>
      </c>
      <c r="AC59" t="str">
        <f>IF(AB59=1,COUNTIF($AB$1:AB59,1),"")</f>
        <v/>
      </c>
    </row>
    <row r="60" spans="1:29" x14ac:dyDescent="0.25">
      <c r="A60" s="13" t="str">
        <f>IFERROR(INDEX($AA$1:$AA$387,MATCH(57,$AC$1:$AC$387,0)),"")</f>
        <v/>
      </c>
      <c r="B60" s="13" t="str">
        <f>IF($A60="","",IF(IFERROR(INDEX(Baarn!$F$43:$F$129,MATCH($A60,Baarn!$C$43:$C$129,0)),"")&lt;&gt;"",IFERROR(INDEX(Baarn!$F$43:$F$129,MATCH($A60,Baarn!$C$43:$C$129,0)),""),IF(IFERROR(INDEX(Scherpenzeel!$F$210:$F$309,MATCH($A60,Scherpenzeel!$C$210:$C$309,0)),"")&lt;&gt;"",IFERROR(INDEX(Scherpenzeel!$F$210:$F$309,MATCH($A60,Scherpenzeel!$C$210:$C$309,0)),""),IF(IFERROR(INDEX('4'!$F$210:$F$309,MATCH($A60,'4'!$C$210:$C$309,0)),"")&lt;&gt;"",IFERROR(INDEX('4'!$F$210:$F$309,MATCH($A60,'4'!$C$210:$C$309,0)),""),IFERROR(INDEX('5'!$F$210:$F$309,MATCH($A60,'5'!$C$210:$C$309,0)),"")))))</f>
        <v/>
      </c>
      <c r="C60" s="24" t="str">
        <f>""</f>
        <v/>
      </c>
      <c r="D60" s="15">
        <f>0</f>
        <v>0</v>
      </c>
      <c r="E60" s="24" t="str">
        <f>IF($A60="","",IFERROR(INDEX(Baarn!$A$43:$A$129,MATCH($A60,Baarn!$C$43:$C$129,0)),""))</f>
        <v/>
      </c>
      <c r="F60" s="15">
        <f>IF($A60="",0,IFERROR(INDEX(Baarn!$I$43:$I$129,MATCH($A60,Baarn!$C$43:$C$129,0)),0))</f>
        <v>0</v>
      </c>
      <c r="G60" s="24" t="str">
        <f>IF($A60="","",IFERROR(INDEX(Scherpenzeel!$A$210:$A$309,MATCH($A60,Scherpenzeel!$C$210:$C$309,0)),""))</f>
        <v/>
      </c>
      <c r="H60" s="15">
        <f>IF($A60="",0,IFERROR(INDEX(Scherpenzeel!$I$210:$I$309,MATCH($A60,Scherpenzeel!$C$210:$C$309,0)),0))</f>
        <v>0</v>
      </c>
      <c r="I60" s="24" t="str">
        <f>IF($A60="","",IFERROR(INDEX('4'!$A$210:$A$309,MATCH($A60,'4'!$C$210:$C$309,0)),""))</f>
        <v/>
      </c>
      <c r="J60" s="15">
        <f>IF($A60="",0,IFERROR(INDEX('4'!$I$210:$I$309,MATCH($A60,'4'!$C$210:$C$309,0)),0))</f>
        <v>0</v>
      </c>
      <c r="K60" s="24" t="str">
        <f>IF($A60="","",IFERROR(INDEX('5'!$A$210:$A$309,MATCH($A60,'5'!$C$210:$C$309,0)),""))</f>
        <v/>
      </c>
      <c r="L60" s="15">
        <f>IF($A60="",0,IFERROR(INDEX('5'!$I$210:$I$309,MATCH($A60,'5'!$C$210:$C$309,0)),0))</f>
        <v>0</v>
      </c>
      <c r="M60" s="25" t="str">
        <f>IF($A60="","",D60+F60+H60+J60+L60)</f>
        <v/>
      </c>
      <c r="N60" s="26" t="str">
        <f>IF(OR($A60="",M60="",M60=0),"",RANK(M60,$M$4:$M$203,0))</f>
        <v/>
      </c>
      <c r="AA60">
        <f>Baarn!C102</f>
        <v>0</v>
      </c>
      <c r="AB60">
        <f>IF(AA60="",0,IF(COUNTIF($AA$1:AA60,AA60)=1,1,0))</f>
        <v>0</v>
      </c>
      <c r="AC60" t="str">
        <f>IF(AB60=1,COUNTIF($AB$1:AB60,1),"")</f>
        <v/>
      </c>
    </row>
    <row r="61" spans="1:29" x14ac:dyDescent="0.25">
      <c r="A61" s="13" t="str">
        <f>IFERROR(INDEX($AA$1:$AA$387,MATCH(58,$AC$1:$AC$387,0)),"")</f>
        <v/>
      </c>
      <c r="B61" s="13" t="str">
        <f>IF($A61="","",IF(IFERROR(INDEX(Baarn!$F$43:$F$129,MATCH($A61,Baarn!$C$43:$C$129,0)),"")&lt;&gt;"",IFERROR(INDEX(Baarn!$F$43:$F$129,MATCH($A61,Baarn!$C$43:$C$129,0)),""),IF(IFERROR(INDEX(Scherpenzeel!$F$210:$F$309,MATCH($A61,Scherpenzeel!$C$210:$C$309,0)),"")&lt;&gt;"",IFERROR(INDEX(Scherpenzeel!$F$210:$F$309,MATCH($A61,Scherpenzeel!$C$210:$C$309,0)),""),IF(IFERROR(INDEX('4'!$F$210:$F$309,MATCH($A61,'4'!$C$210:$C$309,0)),"")&lt;&gt;"",IFERROR(INDEX('4'!$F$210:$F$309,MATCH($A61,'4'!$C$210:$C$309,0)),""),IFERROR(INDEX('5'!$F$210:$F$309,MATCH($A61,'5'!$C$210:$C$309,0)),"")))))</f>
        <v/>
      </c>
      <c r="C61" s="24" t="str">
        <f>""</f>
        <v/>
      </c>
      <c r="D61" s="15">
        <f>0</f>
        <v>0</v>
      </c>
      <c r="E61" s="24" t="str">
        <f>IF($A61="","",IFERROR(INDEX(Baarn!$A$43:$A$129,MATCH($A61,Baarn!$C$43:$C$129,0)),""))</f>
        <v/>
      </c>
      <c r="F61" s="15">
        <f>IF($A61="",0,IFERROR(INDEX(Baarn!$I$43:$I$129,MATCH($A61,Baarn!$C$43:$C$129,0)),0))</f>
        <v>0</v>
      </c>
      <c r="G61" s="24" t="str">
        <f>IF($A61="","",IFERROR(INDEX(Scherpenzeel!$A$210:$A$309,MATCH($A61,Scherpenzeel!$C$210:$C$309,0)),""))</f>
        <v/>
      </c>
      <c r="H61" s="15">
        <f>IF($A61="",0,IFERROR(INDEX(Scherpenzeel!$I$210:$I$309,MATCH($A61,Scherpenzeel!$C$210:$C$309,0)),0))</f>
        <v>0</v>
      </c>
      <c r="I61" s="24" t="str">
        <f>IF($A61="","",IFERROR(INDEX('4'!$A$210:$A$309,MATCH($A61,'4'!$C$210:$C$309,0)),""))</f>
        <v/>
      </c>
      <c r="J61" s="15">
        <f>IF($A61="",0,IFERROR(INDEX('4'!$I$210:$I$309,MATCH($A61,'4'!$C$210:$C$309,0)),0))</f>
        <v>0</v>
      </c>
      <c r="K61" s="24" t="str">
        <f>IF($A61="","",IFERROR(INDEX('5'!$A$210:$A$309,MATCH($A61,'5'!$C$210:$C$309,0)),""))</f>
        <v/>
      </c>
      <c r="L61" s="15">
        <f>IF($A61="",0,IFERROR(INDEX('5'!$I$210:$I$309,MATCH($A61,'5'!$C$210:$C$309,0)),0))</f>
        <v>0</v>
      </c>
      <c r="M61" s="25" t="str">
        <f>IF($A61="","",D61+F61+H61+J61+L61)</f>
        <v/>
      </c>
      <c r="N61" s="26" t="str">
        <f>IF(OR($A61="",M61="",M61=0),"",RANK(M61,$M$4:$M$203,0))</f>
        <v/>
      </c>
      <c r="AA61">
        <f>Baarn!C103</f>
        <v>0</v>
      </c>
      <c r="AB61">
        <f>IF(AA61="",0,IF(COUNTIF($AA$1:AA61,AA61)=1,1,0))</f>
        <v>0</v>
      </c>
      <c r="AC61" t="str">
        <f>IF(AB61=1,COUNTIF($AB$1:AB61,1),"")</f>
        <v/>
      </c>
    </row>
    <row r="62" spans="1:29" x14ac:dyDescent="0.25">
      <c r="A62" s="13" t="str">
        <f>IFERROR(INDEX($AA$1:$AA$387,MATCH(59,$AC$1:$AC$387,0)),"")</f>
        <v/>
      </c>
      <c r="B62" s="13" t="str">
        <f>IF($A62="","",IF(IFERROR(INDEX(Baarn!$F$43:$F$129,MATCH($A62,Baarn!$C$43:$C$129,0)),"")&lt;&gt;"",IFERROR(INDEX(Baarn!$F$43:$F$129,MATCH($A62,Baarn!$C$43:$C$129,0)),""),IF(IFERROR(INDEX(Scherpenzeel!$F$210:$F$309,MATCH($A62,Scherpenzeel!$C$210:$C$309,0)),"")&lt;&gt;"",IFERROR(INDEX(Scherpenzeel!$F$210:$F$309,MATCH($A62,Scherpenzeel!$C$210:$C$309,0)),""),IF(IFERROR(INDEX('4'!$F$210:$F$309,MATCH($A62,'4'!$C$210:$C$309,0)),"")&lt;&gt;"",IFERROR(INDEX('4'!$F$210:$F$309,MATCH($A62,'4'!$C$210:$C$309,0)),""),IFERROR(INDEX('5'!$F$210:$F$309,MATCH($A62,'5'!$C$210:$C$309,0)),"")))))</f>
        <v/>
      </c>
      <c r="C62" s="24" t="str">
        <f>""</f>
        <v/>
      </c>
      <c r="D62" s="15">
        <f>0</f>
        <v>0</v>
      </c>
      <c r="E62" s="24" t="str">
        <f>IF($A62="","",IFERROR(INDEX(Baarn!$A$43:$A$129,MATCH($A62,Baarn!$C$43:$C$129,0)),""))</f>
        <v/>
      </c>
      <c r="F62" s="15">
        <f>IF($A62="",0,IFERROR(INDEX(Baarn!$I$43:$I$129,MATCH($A62,Baarn!$C$43:$C$129,0)),0))</f>
        <v>0</v>
      </c>
      <c r="G62" s="24" t="str">
        <f>IF($A62="","",IFERROR(INDEX(Scherpenzeel!$A$210:$A$309,MATCH($A62,Scherpenzeel!$C$210:$C$309,0)),""))</f>
        <v/>
      </c>
      <c r="H62" s="15">
        <f>IF($A62="",0,IFERROR(INDEX(Scherpenzeel!$I$210:$I$309,MATCH($A62,Scherpenzeel!$C$210:$C$309,0)),0))</f>
        <v>0</v>
      </c>
      <c r="I62" s="24" t="str">
        <f>IF($A62="","",IFERROR(INDEX('4'!$A$210:$A$309,MATCH($A62,'4'!$C$210:$C$309,0)),""))</f>
        <v/>
      </c>
      <c r="J62" s="15">
        <f>IF($A62="",0,IFERROR(INDEX('4'!$I$210:$I$309,MATCH($A62,'4'!$C$210:$C$309,0)),0))</f>
        <v>0</v>
      </c>
      <c r="K62" s="24" t="str">
        <f>IF($A62="","",IFERROR(INDEX('5'!$A$210:$A$309,MATCH($A62,'5'!$C$210:$C$309,0)),""))</f>
        <v/>
      </c>
      <c r="L62" s="15">
        <f>IF($A62="",0,IFERROR(INDEX('5'!$I$210:$I$309,MATCH($A62,'5'!$C$210:$C$309,0)),0))</f>
        <v>0</v>
      </c>
      <c r="M62" s="25" t="str">
        <f>IF($A62="","",D62+F62+H62+J62+L62)</f>
        <v/>
      </c>
      <c r="N62" s="26" t="str">
        <f>IF(OR($A62="",M62="",M62=0),"",RANK(M62,$M$4:$M$203,0))</f>
        <v/>
      </c>
      <c r="AA62">
        <f>Baarn!C104</f>
        <v>0</v>
      </c>
      <c r="AB62">
        <f>IF(AA62="",0,IF(COUNTIF($AA$1:AA62,AA62)=1,1,0))</f>
        <v>0</v>
      </c>
      <c r="AC62" t="str">
        <f>IF(AB62=1,COUNTIF($AB$1:AB62,1),"")</f>
        <v/>
      </c>
    </row>
    <row r="63" spans="1:29" x14ac:dyDescent="0.25">
      <c r="A63" s="13" t="str">
        <f>IFERROR(INDEX($AA$1:$AA$387,MATCH(60,$AC$1:$AC$387,0)),"")</f>
        <v/>
      </c>
      <c r="B63" s="13" t="str">
        <f>IF($A63="","",IF(IFERROR(INDEX(Baarn!$F$43:$F$129,MATCH($A63,Baarn!$C$43:$C$129,0)),"")&lt;&gt;"",IFERROR(INDEX(Baarn!$F$43:$F$129,MATCH($A63,Baarn!$C$43:$C$129,0)),""),IF(IFERROR(INDEX(Scherpenzeel!$F$210:$F$309,MATCH($A63,Scherpenzeel!$C$210:$C$309,0)),"")&lt;&gt;"",IFERROR(INDEX(Scherpenzeel!$F$210:$F$309,MATCH($A63,Scherpenzeel!$C$210:$C$309,0)),""),IF(IFERROR(INDEX('4'!$F$210:$F$309,MATCH($A63,'4'!$C$210:$C$309,0)),"")&lt;&gt;"",IFERROR(INDEX('4'!$F$210:$F$309,MATCH($A63,'4'!$C$210:$C$309,0)),""),IFERROR(INDEX('5'!$F$210:$F$309,MATCH($A63,'5'!$C$210:$C$309,0)),"")))))</f>
        <v/>
      </c>
      <c r="C63" s="24" t="str">
        <f>""</f>
        <v/>
      </c>
      <c r="D63" s="15">
        <f>0</f>
        <v>0</v>
      </c>
      <c r="E63" s="24" t="str">
        <f>IF($A63="","",IFERROR(INDEX(Baarn!$A$43:$A$129,MATCH($A63,Baarn!$C$43:$C$129,0)),""))</f>
        <v/>
      </c>
      <c r="F63" s="15">
        <f>IF($A63="",0,IFERROR(INDEX(Baarn!$I$43:$I$129,MATCH($A63,Baarn!$C$43:$C$129,0)),0))</f>
        <v>0</v>
      </c>
      <c r="G63" s="24" t="str">
        <f>IF($A63="","",IFERROR(INDEX(Scherpenzeel!$A$210:$A$309,MATCH($A63,Scherpenzeel!$C$210:$C$309,0)),""))</f>
        <v/>
      </c>
      <c r="H63" s="15">
        <f>IF($A63="",0,IFERROR(INDEX(Scherpenzeel!$I$210:$I$309,MATCH($A63,Scherpenzeel!$C$210:$C$309,0)),0))</f>
        <v>0</v>
      </c>
      <c r="I63" s="24" t="str">
        <f>IF($A63="","",IFERROR(INDEX('4'!$A$210:$A$309,MATCH($A63,'4'!$C$210:$C$309,0)),""))</f>
        <v/>
      </c>
      <c r="J63" s="15">
        <f>IF($A63="",0,IFERROR(INDEX('4'!$I$210:$I$309,MATCH($A63,'4'!$C$210:$C$309,0)),0))</f>
        <v>0</v>
      </c>
      <c r="K63" s="24" t="str">
        <f>IF($A63="","",IFERROR(INDEX('5'!$A$210:$A$309,MATCH($A63,'5'!$C$210:$C$309,0)),""))</f>
        <v/>
      </c>
      <c r="L63" s="15">
        <f>IF($A63="",0,IFERROR(INDEX('5'!$I$210:$I$309,MATCH($A63,'5'!$C$210:$C$309,0)),0))</f>
        <v>0</v>
      </c>
      <c r="M63" s="25" t="str">
        <f>IF($A63="","",D63+F63+H63+J63+L63)</f>
        <v/>
      </c>
      <c r="N63" s="26" t="str">
        <f>IF(OR($A63="",M63="",M63=0),"",RANK(M63,$M$4:$M$203,0))</f>
        <v/>
      </c>
      <c r="AA63">
        <f>Baarn!C105</f>
        <v>0</v>
      </c>
      <c r="AB63">
        <f>IF(AA63="",0,IF(COUNTIF($AA$1:AA63,AA63)=1,1,0))</f>
        <v>0</v>
      </c>
      <c r="AC63" t="str">
        <f>IF(AB63=1,COUNTIF($AB$1:AB63,1),"")</f>
        <v/>
      </c>
    </row>
    <row r="64" spans="1:29" x14ac:dyDescent="0.25">
      <c r="A64" s="13" t="str">
        <f>IFERROR(INDEX($AA$1:$AA$387,MATCH(61,$AC$1:$AC$387,0)),"")</f>
        <v/>
      </c>
      <c r="B64" s="13" t="str">
        <f>IF($A64="","",IF(IFERROR(INDEX(Baarn!$F$43:$F$129,MATCH($A64,Baarn!$C$43:$C$129,0)),"")&lt;&gt;"",IFERROR(INDEX(Baarn!$F$43:$F$129,MATCH($A64,Baarn!$C$43:$C$129,0)),""),IF(IFERROR(INDEX(Scherpenzeel!$F$210:$F$309,MATCH($A64,Scherpenzeel!$C$210:$C$309,0)),"")&lt;&gt;"",IFERROR(INDEX(Scherpenzeel!$F$210:$F$309,MATCH($A64,Scherpenzeel!$C$210:$C$309,0)),""),IF(IFERROR(INDEX('4'!$F$210:$F$309,MATCH($A64,'4'!$C$210:$C$309,0)),"")&lt;&gt;"",IFERROR(INDEX('4'!$F$210:$F$309,MATCH($A64,'4'!$C$210:$C$309,0)),""),IFERROR(INDEX('5'!$F$210:$F$309,MATCH($A64,'5'!$C$210:$C$309,0)),"")))))</f>
        <v/>
      </c>
      <c r="C64" s="24" t="str">
        <f>""</f>
        <v/>
      </c>
      <c r="D64" s="15">
        <f>0</f>
        <v>0</v>
      </c>
      <c r="E64" s="24" t="str">
        <f>IF($A64="","",IFERROR(INDEX(Baarn!$A$43:$A$129,MATCH($A64,Baarn!$C$43:$C$129,0)),""))</f>
        <v/>
      </c>
      <c r="F64" s="15">
        <f>IF($A64="",0,IFERROR(INDEX(Baarn!$I$43:$I$129,MATCH($A64,Baarn!$C$43:$C$129,0)),0))</f>
        <v>0</v>
      </c>
      <c r="G64" s="24" t="str">
        <f>IF($A64="","",IFERROR(INDEX(Scherpenzeel!$A$210:$A$309,MATCH($A64,Scherpenzeel!$C$210:$C$309,0)),""))</f>
        <v/>
      </c>
      <c r="H64" s="15">
        <f>IF($A64="",0,IFERROR(INDEX(Scherpenzeel!$I$210:$I$309,MATCH($A64,Scherpenzeel!$C$210:$C$309,0)),0))</f>
        <v>0</v>
      </c>
      <c r="I64" s="24" t="str">
        <f>IF($A64="","",IFERROR(INDEX('4'!$A$210:$A$309,MATCH($A64,'4'!$C$210:$C$309,0)),""))</f>
        <v/>
      </c>
      <c r="J64" s="15">
        <f>IF($A64="",0,IFERROR(INDEX('4'!$I$210:$I$309,MATCH($A64,'4'!$C$210:$C$309,0)),0))</f>
        <v>0</v>
      </c>
      <c r="K64" s="24" t="str">
        <f>IF($A64="","",IFERROR(INDEX('5'!$A$210:$A$309,MATCH($A64,'5'!$C$210:$C$309,0)),""))</f>
        <v/>
      </c>
      <c r="L64" s="15">
        <f>IF($A64="",0,IFERROR(INDEX('5'!$I$210:$I$309,MATCH($A64,'5'!$C$210:$C$309,0)),0))</f>
        <v>0</v>
      </c>
      <c r="M64" s="25" t="str">
        <f>IF($A64="","",D64+F64+H64+J64+L64)</f>
        <v/>
      </c>
      <c r="N64" s="26" t="str">
        <f>IF(OR($A64="",M64="",M64=0),"",RANK(M64,$M$4:$M$203,0))</f>
        <v/>
      </c>
      <c r="AA64">
        <f>Baarn!C106</f>
        <v>0</v>
      </c>
      <c r="AB64">
        <f>IF(AA64="",0,IF(COUNTIF($AA$1:AA64,AA64)=1,1,0))</f>
        <v>0</v>
      </c>
      <c r="AC64" t="str">
        <f>IF(AB64=1,COUNTIF($AB$1:AB64,1),"")</f>
        <v/>
      </c>
    </row>
    <row r="65" spans="1:29" x14ac:dyDescent="0.25">
      <c r="A65" s="13" t="str">
        <f>IFERROR(INDEX($AA$1:$AA$387,MATCH(62,$AC$1:$AC$387,0)),"")</f>
        <v/>
      </c>
      <c r="B65" s="13" t="str">
        <f>IF($A65="","",IF(IFERROR(INDEX(Baarn!$F$43:$F$129,MATCH($A65,Baarn!$C$43:$C$129,0)),"")&lt;&gt;"",IFERROR(INDEX(Baarn!$F$43:$F$129,MATCH($A65,Baarn!$C$43:$C$129,0)),""),IF(IFERROR(INDEX(Scherpenzeel!$F$210:$F$309,MATCH($A65,Scherpenzeel!$C$210:$C$309,0)),"")&lt;&gt;"",IFERROR(INDEX(Scherpenzeel!$F$210:$F$309,MATCH($A65,Scherpenzeel!$C$210:$C$309,0)),""),IF(IFERROR(INDEX('4'!$F$210:$F$309,MATCH($A65,'4'!$C$210:$C$309,0)),"")&lt;&gt;"",IFERROR(INDEX('4'!$F$210:$F$309,MATCH($A65,'4'!$C$210:$C$309,0)),""),IFERROR(INDEX('5'!$F$210:$F$309,MATCH($A65,'5'!$C$210:$C$309,0)),"")))))</f>
        <v/>
      </c>
      <c r="C65" s="24" t="str">
        <f>""</f>
        <v/>
      </c>
      <c r="D65" s="15">
        <f>0</f>
        <v>0</v>
      </c>
      <c r="E65" s="24" t="str">
        <f>IF($A65="","",IFERROR(INDEX(Baarn!$A$43:$A$129,MATCH($A65,Baarn!$C$43:$C$129,0)),""))</f>
        <v/>
      </c>
      <c r="F65" s="15">
        <f>IF($A65="",0,IFERROR(INDEX(Baarn!$I$43:$I$129,MATCH($A65,Baarn!$C$43:$C$129,0)),0))</f>
        <v>0</v>
      </c>
      <c r="G65" s="24" t="str">
        <f>IF($A65="","",IFERROR(INDEX(Scherpenzeel!$A$210:$A$309,MATCH($A65,Scherpenzeel!$C$210:$C$309,0)),""))</f>
        <v/>
      </c>
      <c r="H65" s="15">
        <f>IF($A65="",0,IFERROR(INDEX(Scherpenzeel!$I$210:$I$309,MATCH($A65,Scherpenzeel!$C$210:$C$309,0)),0))</f>
        <v>0</v>
      </c>
      <c r="I65" s="24" t="str">
        <f>IF($A65="","",IFERROR(INDEX('4'!$A$210:$A$309,MATCH($A65,'4'!$C$210:$C$309,0)),""))</f>
        <v/>
      </c>
      <c r="J65" s="15">
        <f>IF($A65="",0,IFERROR(INDEX('4'!$I$210:$I$309,MATCH($A65,'4'!$C$210:$C$309,0)),0))</f>
        <v>0</v>
      </c>
      <c r="K65" s="24" t="str">
        <f>IF($A65="","",IFERROR(INDEX('5'!$A$210:$A$309,MATCH($A65,'5'!$C$210:$C$309,0)),""))</f>
        <v/>
      </c>
      <c r="L65" s="15">
        <f>IF($A65="",0,IFERROR(INDEX('5'!$I$210:$I$309,MATCH($A65,'5'!$C$210:$C$309,0)),0))</f>
        <v>0</v>
      </c>
      <c r="M65" s="25" t="str">
        <f>IF($A65="","",D65+F65+H65+J65+L65)</f>
        <v/>
      </c>
      <c r="N65" s="26" t="str">
        <f>IF(OR($A65="",M65="",M65=0),"",RANK(M65,$M$4:$M$203,0))</f>
        <v/>
      </c>
      <c r="AA65">
        <f>Baarn!C107</f>
        <v>0</v>
      </c>
      <c r="AB65">
        <f>IF(AA65="",0,IF(COUNTIF($AA$1:AA65,AA65)=1,1,0))</f>
        <v>0</v>
      </c>
      <c r="AC65" t="str">
        <f>IF(AB65=1,COUNTIF($AB$1:AB65,1),"")</f>
        <v/>
      </c>
    </row>
    <row r="66" spans="1:29" x14ac:dyDescent="0.25">
      <c r="A66" s="13" t="str">
        <f>IFERROR(INDEX($AA$1:$AA$387,MATCH(63,$AC$1:$AC$387,0)),"")</f>
        <v/>
      </c>
      <c r="B66" s="13" t="str">
        <f>IF($A66="","",IF(IFERROR(INDEX(Baarn!$F$43:$F$129,MATCH($A66,Baarn!$C$43:$C$129,0)),"")&lt;&gt;"",IFERROR(INDEX(Baarn!$F$43:$F$129,MATCH($A66,Baarn!$C$43:$C$129,0)),""),IF(IFERROR(INDEX(Scherpenzeel!$F$210:$F$309,MATCH($A66,Scherpenzeel!$C$210:$C$309,0)),"")&lt;&gt;"",IFERROR(INDEX(Scherpenzeel!$F$210:$F$309,MATCH($A66,Scherpenzeel!$C$210:$C$309,0)),""),IF(IFERROR(INDEX('4'!$F$210:$F$309,MATCH($A66,'4'!$C$210:$C$309,0)),"")&lt;&gt;"",IFERROR(INDEX('4'!$F$210:$F$309,MATCH($A66,'4'!$C$210:$C$309,0)),""),IFERROR(INDEX('5'!$F$210:$F$309,MATCH($A66,'5'!$C$210:$C$309,0)),"")))))</f>
        <v/>
      </c>
      <c r="C66" s="24" t="str">
        <f>""</f>
        <v/>
      </c>
      <c r="D66" s="15">
        <f>0</f>
        <v>0</v>
      </c>
      <c r="E66" s="24" t="str">
        <f>IF($A66="","",IFERROR(INDEX(Baarn!$A$43:$A$129,MATCH($A66,Baarn!$C$43:$C$129,0)),""))</f>
        <v/>
      </c>
      <c r="F66" s="15">
        <f>IF($A66="",0,IFERROR(INDEX(Baarn!$I$43:$I$129,MATCH($A66,Baarn!$C$43:$C$129,0)),0))</f>
        <v>0</v>
      </c>
      <c r="G66" s="24" t="str">
        <f>IF($A66="","",IFERROR(INDEX(Scherpenzeel!$A$210:$A$309,MATCH($A66,Scherpenzeel!$C$210:$C$309,0)),""))</f>
        <v/>
      </c>
      <c r="H66" s="15">
        <f>IF($A66="",0,IFERROR(INDEX(Scherpenzeel!$I$210:$I$309,MATCH($A66,Scherpenzeel!$C$210:$C$309,0)),0))</f>
        <v>0</v>
      </c>
      <c r="I66" s="24" t="str">
        <f>IF($A66="","",IFERROR(INDEX('4'!$A$210:$A$309,MATCH($A66,'4'!$C$210:$C$309,0)),""))</f>
        <v/>
      </c>
      <c r="J66" s="15">
        <f>IF($A66="",0,IFERROR(INDEX('4'!$I$210:$I$309,MATCH($A66,'4'!$C$210:$C$309,0)),0))</f>
        <v>0</v>
      </c>
      <c r="K66" s="24" t="str">
        <f>IF($A66="","",IFERROR(INDEX('5'!$A$210:$A$309,MATCH($A66,'5'!$C$210:$C$309,0)),""))</f>
        <v/>
      </c>
      <c r="L66" s="15">
        <f>IF($A66="",0,IFERROR(INDEX('5'!$I$210:$I$309,MATCH($A66,'5'!$C$210:$C$309,0)),0))</f>
        <v>0</v>
      </c>
      <c r="M66" s="25" t="str">
        <f>IF($A66="","",D66+F66+H66+J66+L66)</f>
        <v/>
      </c>
      <c r="N66" s="26" t="str">
        <f>IF(OR($A66="",M66="",M66=0),"",RANK(M66,$M$4:$M$203,0))</f>
        <v/>
      </c>
      <c r="AA66">
        <f>Baarn!C108</f>
        <v>0</v>
      </c>
      <c r="AB66">
        <f>IF(AA66="",0,IF(COUNTIF($AA$1:AA66,AA66)=1,1,0))</f>
        <v>0</v>
      </c>
      <c r="AC66" t="str">
        <f>IF(AB66=1,COUNTIF($AB$1:AB66,1),"")</f>
        <v/>
      </c>
    </row>
    <row r="67" spans="1:29" x14ac:dyDescent="0.25">
      <c r="A67" s="13" t="str">
        <f>IFERROR(INDEX($AA$1:$AA$387,MATCH(64,$AC$1:$AC$387,0)),"")</f>
        <v/>
      </c>
      <c r="B67" s="13" t="str">
        <f>IF($A67="","",IF(IFERROR(INDEX(Baarn!$F$43:$F$129,MATCH($A67,Baarn!$C$43:$C$129,0)),"")&lt;&gt;"",IFERROR(INDEX(Baarn!$F$43:$F$129,MATCH($A67,Baarn!$C$43:$C$129,0)),""),IF(IFERROR(INDEX(Scherpenzeel!$F$210:$F$309,MATCH($A67,Scherpenzeel!$C$210:$C$309,0)),"")&lt;&gt;"",IFERROR(INDEX(Scherpenzeel!$F$210:$F$309,MATCH($A67,Scherpenzeel!$C$210:$C$309,0)),""),IF(IFERROR(INDEX('4'!$F$210:$F$309,MATCH($A67,'4'!$C$210:$C$309,0)),"")&lt;&gt;"",IFERROR(INDEX('4'!$F$210:$F$309,MATCH($A67,'4'!$C$210:$C$309,0)),""),IFERROR(INDEX('5'!$F$210:$F$309,MATCH($A67,'5'!$C$210:$C$309,0)),"")))))</f>
        <v/>
      </c>
      <c r="C67" s="24" t="str">
        <f>""</f>
        <v/>
      </c>
      <c r="D67" s="15">
        <f>0</f>
        <v>0</v>
      </c>
      <c r="E67" s="24" t="str">
        <f>IF($A67="","",IFERROR(INDEX(Baarn!$A$43:$A$129,MATCH($A67,Baarn!$C$43:$C$129,0)),""))</f>
        <v/>
      </c>
      <c r="F67" s="15">
        <f>IF($A67="",0,IFERROR(INDEX(Baarn!$I$43:$I$129,MATCH($A67,Baarn!$C$43:$C$129,0)),0))</f>
        <v>0</v>
      </c>
      <c r="G67" s="24" t="str">
        <f>IF($A67="","",IFERROR(INDEX(Scherpenzeel!$A$210:$A$309,MATCH($A67,Scherpenzeel!$C$210:$C$309,0)),""))</f>
        <v/>
      </c>
      <c r="H67" s="15">
        <f>IF($A67="",0,IFERROR(INDEX(Scherpenzeel!$I$210:$I$309,MATCH($A67,Scherpenzeel!$C$210:$C$309,0)),0))</f>
        <v>0</v>
      </c>
      <c r="I67" s="24" t="str">
        <f>IF($A67="","",IFERROR(INDEX('4'!$A$210:$A$309,MATCH($A67,'4'!$C$210:$C$309,0)),""))</f>
        <v/>
      </c>
      <c r="J67" s="15">
        <f>IF($A67="",0,IFERROR(INDEX('4'!$I$210:$I$309,MATCH($A67,'4'!$C$210:$C$309,0)),0))</f>
        <v>0</v>
      </c>
      <c r="K67" s="24" t="str">
        <f>IF($A67="","",IFERROR(INDEX('5'!$A$210:$A$309,MATCH($A67,'5'!$C$210:$C$309,0)),""))</f>
        <v/>
      </c>
      <c r="L67" s="15">
        <f>IF($A67="",0,IFERROR(INDEX('5'!$I$210:$I$309,MATCH($A67,'5'!$C$210:$C$309,0)),0))</f>
        <v>0</v>
      </c>
      <c r="M67" s="25" t="str">
        <f>IF($A67="","",D67+F67+H67+J67+L67)</f>
        <v/>
      </c>
      <c r="N67" s="26" t="str">
        <f>IF(OR($A67="",M67="",M67=0),"",RANK(M67,$M$4:$M$203,0))</f>
        <v/>
      </c>
      <c r="AA67">
        <f>Baarn!C109</f>
        <v>0</v>
      </c>
      <c r="AB67">
        <f>IF(AA67="",0,IF(COUNTIF($AA$1:AA67,AA67)=1,1,0))</f>
        <v>0</v>
      </c>
      <c r="AC67" t="str">
        <f>IF(AB67=1,COUNTIF($AB$1:AB67,1),"")</f>
        <v/>
      </c>
    </row>
    <row r="68" spans="1:29" x14ac:dyDescent="0.25">
      <c r="A68" s="13" t="str">
        <f>IFERROR(INDEX($AA$1:$AA$387,MATCH(65,$AC$1:$AC$387,0)),"")</f>
        <v/>
      </c>
      <c r="B68" s="13" t="str">
        <f>IF($A68="","",IF(IFERROR(INDEX(Baarn!$F$43:$F$129,MATCH($A68,Baarn!$C$43:$C$129,0)),"")&lt;&gt;"",IFERROR(INDEX(Baarn!$F$43:$F$129,MATCH($A68,Baarn!$C$43:$C$129,0)),""),IF(IFERROR(INDEX(Scherpenzeel!$F$210:$F$309,MATCH($A68,Scherpenzeel!$C$210:$C$309,0)),"")&lt;&gt;"",IFERROR(INDEX(Scherpenzeel!$F$210:$F$309,MATCH($A68,Scherpenzeel!$C$210:$C$309,0)),""),IF(IFERROR(INDEX('4'!$F$210:$F$309,MATCH($A68,'4'!$C$210:$C$309,0)),"")&lt;&gt;"",IFERROR(INDEX('4'!$F$210:$F$309,MATCH($A68,'4'!$C$210:$C$309,0)),""),IFERROR(INDEX('5'!$F$210:$F$309,MATCH($A68,'5'!$C$210:$C$309,0)),"")))))</f>
        <v/>
      </c>
      <c r="C68" s="24" t="str">
        <f>""</f>
        <v/>
      </c>
      <c r="D68" s="15">
        <f>0</f>
        <v>0</v>
      </c>
      <c r="E68" s="24" t="str">
        <f>IF($A68="","",IFERROR(INDEX(Baarn!$A$43:$A$129,MATCH($A68,Baarn!$C$43:$C$129,0)),""))</f>
        <v/>
      </c>
      <c r="F68" s="15">
        <f>IF($A68="",0,IFERROR(INDEX(Baarn!$I$43:$I$129,MATCH($A68,Baarn!$C$43:$C$129,0)),0))</f>
        <v>0</v>
      </c>
      <c r="G68" s="24" t="str">
        <f>IF($A68="","",IFERROR(INDEX(Scherpenzeel!$A$210:$A$309,MATCH($A68,Scherpenzeel!$C$210:$C$309,0)),""))</f>
        <v/>
      </c>
      <c r="H68" s="15">
        <f>IF($A68="",0,IFERROR(INDEX(Scherpenzeel!$I$210:$I$309,MATCH($A68,Scherpenzeel!$C$210:$C$309,0)),0))</f>
        <v>0</v>
      </c>
      <c r="I68" s="24" t="str">
        <f>IF($A68="","",IFERROR(INDEX('4'!$A$210:$A$309,MATCH($A68,'4'!$C$210:$C$309,0)),""))</f>
        <v/>
      </c>
      <c r="J68" s="15">
        <f>IF($A68="",0,IFERROR(INDEX('4'!$I$210:$I$309,MATCH($A68,'4'!$C$210:$C$309,0)),0))</f>
        <v>0</v>
      </c>
      <c r="K68" s="24" t="str">
        <f>IF($A68="","",IFERROR(INDEX('5'!$A$210:$A$309,MATCH($A68,'5'!$C$210:$C$309,0)),""))</f>
        <v/>
      </c>
      <c r="L68" s="15">
        <f>IF($A68="",0,IFERROR(INDEX('5'!$I$210:$I$309,MATCH($A68,'5'!$C$210:$C$309,0)),0))</f>
        <v>0</v>
      </c>
      <c r="M68" s="25" t="str">
        <f>IF($A68="","",D68+F68+H68+J68+L68)</f>
        <v/>
      </c>
      <c r="N68" s="26" t="str">
        <f>IF(OR($A68="",M68="",M68=0),"",RANK(M68,$M$4:$M$203,0))</f>
        <v/>
      </c>
      <c r="AA68">
        <f>Baarn!C110</f>
        <v>0</v>
      </c>
      <c r="AB68">
        <f>IF(AA68="",0,IF(COUNTIF($AA$1:AA68,AA68)=1,1,0))</f>
        <v>0</v>
      </c>
      <c r="AC68" t="str">
        <f>IF(AB68=1,COUNTIF($AB$1:AB68,1),"")</f>
        <v/>
      </c>
    </row>
    <row r="69" spans="1:29" x14ac:dyDescent="0.25">
      <c r="A69" s="13" t="str">
        <f>IFERROR(INDEX($AA$1:$AA$387,MATCH(66,$AC$1:$AC$387,0)),"")</f>
        <v/>
      </c>
      <c r="B69" s="13" t="str">
        <f>IF($A69="","",IF(IFERROR(INDEX(Baarn!$F$43:$F$129,MATCH($A69,Baarn!$C$43:$C$129,0)),"")&lt;&gt;"",IFERROR(INDEX(Baarn!$F$43:$F$129,MATCH($A69,Baarn!$C$43:$C$129,0)),""),IF(IFERROR(INDEX(Scherpenzeel!$F$210:$F$309,MATCH($A69,Scherpenzeel!$C$210:$C$309,0)),"")&lt;&gt;"",IFERROR(INDEX(Scherpenzeel!$F$210:$F$309,MATCH($A69,Scherpenzeel!$C$210:$C$309,0)),""),IF(IFERROR(INDEX('4'!$F$210:$F$309,MATCH($A69,'4'!$C$210:$C$309,0)),"")&lt;&gt;"",IFERROR(INDEX('4'!$F$210:$F$309,MATCH($A69,'4'!$C$210:$C$309,0)),""),IFERROR(INDEX('5'!$F$210:$F$309,MATCH($A69,'5'!$C$210:$C$309,0)),"")))))</f>
        <v/>
      </c>
      <c r="C69" s="24" t="str">
        <f>""</f>
        <v/>
      </c>
      <c r="D69" s="15">
        <f>0</f>
        <v>0</v>
      </c>
      <c r="E69" s="24" t="str">
        <f>IF($A69="","",IFERROR(INDEX(Baarn!$A$43:$A$129,MATCH($A69,Baarn!$C$43:$C$129,0)),""))</f>
        <v/>
      </c>
      <c r="F69" s="15">
        <f>IF($A69="",0,IFERROR(INDEX(Baarn!$I$43:$I$129,MATCH($A69,Baarn!$C$43:$C$129,0)),0))</f>
        <v>0</v>
      </c>
      <c r="G69" s="24" t="str">
        <f>IF($A69="","",IFERROR(INDEX(Scherpenzeel!$A$210:$A$309,MATCH($A69,Scherpenzeel!$C$210:$C$309,0)),""))</f>
        <v/>
      </c>
      <c r="H69" s="15">
        <f>IF($A69="",0,IFERROR(INDEX(Scherpenzeel!$I$210:$I$309,MATCH($A69,Scherpenzeel!$C$210:$C$309,0)),0))</f>
        <v>0</v>
      </c>
      <c r="I69" s="24" t="str">
        <f>IF($A69="","",IFERROR(INDEX('4'!$A$210:$A$309,MATCH($A69,'4'!$C$210:$C$309,0)),""))</f>
        <v/>
      </c>
      <c r="J69" s="15">
        <f>IF($A69="",0,IFERROR(INDEX('4'!$I$210:$I$309,MATCH($A69,'4'!$C$210:$C$309,0)),0))</f>
        <v>0</v>
      </c>
      <c r="K69" s="24" t="str">
        <f>IF($A69="","",IFERROR(INDEX('5'!$A$210:$A$309,MATCH($A69,'5'!$C$210:$C$309,0)),""))</f>
        <v/>
      </c>
      <c r="L69" s="15">
        <f>IF($A69="",0,IFERROR(INDEX('5'!$I$210:$I$309,MATCH($A69,'5'!$C$210:$C$309,0)),0))</f>
        <v>0</v>
      </c>
      <c r="M69" s="25" t="str">
        <f>IF($A69="","",D69+F69+H69+J69+L69)</f>
        <v/>
      </c>
      <c r="N69" s="26" t="str">
        <f>IF(OR($A69="",M69="",M69=0),"",RANK(M69,$M$4:$M$203,0))</f>
        <v/>
      </c>
      <c r="AA69">
        <f>Baarn!C111</f>
        <v>0</v>
      </c>
      <c r="AB69">
        <f>IF(AA69="",0,IF(COUNTIF($AA$1:AA69,AA69)=1,1,0))</f>
        <v>0</v>
      </c>
      <c r="AC69" t="str">
        <f>IF(AB69=1,COUNTIF($AB$1:AB69,1),"")</f>
        <v/>
      </c>
    </row>
    <row r="70" spans="1:29" x14ac:dyDescent="0.25">
      <c r="A70" s="13" t="str">
        <f>IFERROR(INDEX($AA$1:$AA$387,MATCH(67,$AC$1:$AC$387,0)),"")</f>
        <v/>
      </c>
      <c r="B70" s="13" t="str">
        <f>IF($A70="","",IF(IFERROR(INDEX(Baarn!$F$43:$F$129,MATCH($A70,Baarn!$C$43:$C$129,0)),"")&lt;&gt;"",IFERROR(INDEX(Baarn!$F$43:$F$129,MATCH($A70,Baarn!$C$43:$C$129,0)),""),IF(IFERROR(INDEX(Scherpenzeel!$F$210:$F$309,MATCH($A70,Scherpenzeel!$C$210:$C$309,0)),"")&lt;&gt;"",IFERROR(INDEX(Scherpenzeel!$F$210:$F$309,MATCH($A70,Scherpenzeel!$C$210:$C$309,0)),""),IF(IFERROR(INDEX('4'!$F$210:$F$309,MATCH($A70,'4'!$C$210:$C$309,0)),"")&lt;&gt;"",IFERROR(INDEX('4'!$F$210:$F$309,MATCH($A70,'4'!$C$210:$C$309,0)),""),IFERROR(INDEX('5'!$F$210:$F$309,MATCH($A70,'5'!$C$210:$C$309,0)),"")))))</f>
        <v/>
      </c>
      <c r="C70" s="24" t="str">
        <f>""</f>
        <v/>
      </c>
      <c r="D70" s="15">
        <f>0</f>
        <v>0</v>
      </c>
      <c r="E70" s="24" t="str">
        <f>IF($A70="","",IFERROR(INDEX(Baarn!$A$43:$A$129,MATCH($A70,Baarn!$C$43:$C$129,0)),""))</f>
        <v/>
      </c>
      <c r="F70" s="15">
        <f>IF($A70="",0,IFERROR(INDEX(Baarn!$I$43:$I$129,MATCH($A70,Baarn!$C$43:$C$129,0)),0))</f>
        <v>0</v>
      </c>
      <c r="G70" s="24" t="str">
        <f>IF($A70="","",IFERROR(INDEX(Scherpenzeel!$A$210:$A$309,MATCH($A70,Scherpenzeel!$C$210:$C$309,0)),""))</f>
        <v/>
      </c>
      <c r="H70" s="15">
        <f>IF($A70="",0,IFERROR(INDEX(Scherpenzeel!$I$210:$I$309,MATCH($A70,Scherpenzeel!$C$210:$C$309,0)),0))</f>
        <v>0</v>
      </c>
      <c r="I70" s="24" t="str">
        <f>IF($A70="","",IFERROR(INDEX('4'!$A$210:$A$309,MATCH($A70,'4'!$C$210:$C$309,0)),""))</f>
        <v/>
      </c>
      <c r="J70" s="15">
        <f>IF($A70="",0,IFERROR(INDEX('4'!$I$210:$I$309,MATCH($A70,'4'!$C$210:$C$309,0)),0))</f>
        <v>0</v>
      </c>
      <c r="K70" s="24" t="str">
        <f>IF($A70="","",IFERROR(INDEX('5'!$A$210:$A$309,MATCH($A70,'5'!$C$210:$C$309,0)),""))</f>
        <v/>
      </c>
      <c r="L70" s="15">
        <f>IF($A70="",0,IFERROR(INDEX('5'!$I$210:$I$309,MATCH($A70,'5'!$C$210:$C$309,0)),0))</f>
        <v>0</v>
      </c>
      <c r="M70" s="25" t="str">
        <f>IF($A70="","",D70+F70+H70+J70+L70)</f>
        <v/>
      </c>
      <c r="N70" s="26" t="str">
        <f>IF(OR($A70="",M70="",M70=0),"",RANK(M70,$M$4:$M$203,0))</f>
        <v/>
      </c>
      <c r="AA70">
        <f>Baarn!C112</f>
        <v>0</v>
      </c>
      <c r="AB70">
        <f>IF(AA70="",0,IF(COUNTIF($AA$1:AA70,AA70)=1,1,0))</f>
        <v>0</v>
      </c>
      <c r="AC70" t="str">
        <f>IF(AB70=1,COUNTIF($AB$1:AB70,1),"")</f>
        <v/>
      </c>
    </row>
    <row r="71" spans="1:29" x14ac:dyDescent="0.25">
      <c r="A71" s="13" t="str">
        <f>IFERROR(INDEX($AA$1:$AA$387,MATCH(68,$AC$1:$AC$387,0)),"")</f>
        <v/>
      </c>
      <c r="B71" s="13" t="str">
        <f>IF($A71="","",IF(IFERROR(INDEX(Baarn!$F$43:$F$129,MATCH($A71,Baarn!$C$43:$C$129,0)),"")&lt;&gt;"",IFERROR(INDEX(Baarn!$F$43:$F$129,MATCH($A71,Baarn!$C$43:$C$129,0)),""),IF(IFERROR(INDEX(Scherpenzeel!$F$210:$F$309,MATCH($A71,Scherpenzeel!$C$210:$C$309,0)),"")&lt;&gt;"",IFERROR(INDEX(Scherpenzeel!$F$210:$F$309,MATCH($A71,Scherpenzeel!$C$210:$C$309,0)),""),IF(IFERROR(INDEX('4'!$F$210:$F$309,MATCH($A71,'4'!$C$210:$C$309,0)),"")&lt;&gt;"",IFERROR(INDEX('4'!$F$210:$F$309,MATCH($A71,'4'!$C$210:$C$309,0)),""),IFERROR(INDEX('5'!$F$210:$F$309,MATCH($A71,'5'!$C$210:$C$309,0)),"")))))</f>
        <v/>
      </c>
      <c r="C71" s="24" t="str">
        <f>""</f>
        <v/>
      </c>
      <c r="D71" s="15">
        <f>0</f>
        <v>0</v>
      </c>
      <c r="E71" s="24" t="str">
        <f>IF($A71="","",IFERROR(INDEX(Baarn!$A$43:$A$129,MATCH($A71,Baarn!$C$43:$C$129,0)),""))</f>
        <v/>
      </c>
      <c r="F71" s="15">
        <f>IF($A71="",0,IFERROR(INDEX(Baarn!$I$43:$I$129,MATCH($A71,Baarn!$C$43:$C$129,0)),0))</f>
        <v>0</v>
      </c>
      <c r="G71" s="24" t="str">
        <f>IF($A71="","",IFERROR(INDEX(Scherpenzeel!$A$210:$A$309,MATCH($A71,Scherpenzeel!$C$210:$C$309,0)),""))</f>
        <v/>
      </c>
      <c r="H71" s="15">
        <f>IF($A71="",0,IFERROR(INDEX(Scherpenzeel!$I$210:$I$309,MATCH($A71,Scherpenzeel!$C$210:$C$309,0)),0))</f>
        <v>0</v>
      </c>
      <c r="I71" s="24" t="str">
        <f>IF($A71="","",IFERROR(INDEX('4'!$A$210:$A$309,MATCH($A71,'4'!$C$210:$C$309,0)),""))</f>
        <v/>
      </c>
      <c r="J71" s="15">
        <f>IF($A71="",0,IFERROR(INDEX('4'!$I$210:$I$309,MATCH($A71,'4'!$C$210:$C$309,0)),0))</f>
        <v>0</v>
      </c>
      <c r="K71" s="24" t="str">
        <f>IF($A71="","",IFERROR(INDEX('5'!$A$210:$A$309,MATCH($A71,'5'!$C$210:$C$309,0)),""))</f>
        <v/>
      </c>
      <c r="L71" s="15">
        <f>IF($A71="",0,IFERROR(INDEX('5'!$I$210:$I$309,MATCH($A71,'5'!$C$210:$C$309,0)),0))</f>
        <v>0</v>
      </c>
      <c r="M71" s="25" t="str">
        <f>IF($A71="","",D71+F71+H71+J71+L71)</f>
        <v/>
      </c>
      <c r="N71" s="26" t="str">
        <f>IF(OR($A71="",M71="",M71=0),"",RANK(M71,$M$4:$M$203,0))</f>
        <v/>
      </c>
      <c r="AA71">
        <f>Baarn!C113</f>
        <v>0</v>
      </c>
      <c r="AB71">
        <f>IF(AA71="",0,IF(COUNTIF($AA$1:AA71,AA71)=1,1,0))</f>
        <v>0</v>
      </c>
      <c r="AC71" t="str">
        <f>IF(AB71=1,COUNTIF($AB$1:AB71,1),"")</f>
        <v/>
      </c>
    </row>
    <row r="72" spans="1:29" x14ac:dyDescent="0.25">
      <c r="A72" s="13" t="str">
        <f>IFERROR(INDEX($AA$1:$AA$387,MATCH(69,$AC$1:$AC$387,0)),"")</f>
        <v/>
      </c>
      <c r="B72" s="13" t="str">
        <f>IF($A72="","",IF(IFERROR(INDEX(Baarn!$F$43:$F$129,MATCH($A72,Baarn!$C$43:$C$129,0)),"")&lt;&gt;"",IFERROR(INDEX(Baarn!$F$43:$F$129,MATCH($A72,Baarn!$C$43:$C$129,0)),""),IF(IFERROR(INDEX(Scherpenzeel!$F$210:$F$309,MATCH($A72,Scherpenzeel!$C$210:$C$309,0)),"")&lt;&gt;"",IFERROR(INDEX(Scherpenzeel!$F$210:$F$309,MATCH($A72,Scherpenzeel!$C$210:$C$309,0)),""),IF(IFERROR(INDEX('4'!$F$210:$F$309,MATCH($A72,'4'!$C$210:$C$309,0)),"")&lt;&gt;"",IFERROR(INDEX('4'!$F$210:$F$309,MATCH($A72,'4'!$C$210:$C$309,0)),""),IFERROR(INDEX('5'!$F$210:$F$309,MATCH($A72,'5'!$C$210:$C$309,0)),"")))))</f>
        <v/>
      </c>
      <c r="C72" s="24" t="str">
        <f>""</f>
        <v/>
      </c>
      <c r="D72" s="15">
        <f>0</f>
        <v>0</v>
      </c>
      <c r="E72" s="24" t="str">
        <f>IF($A72="","",IFERROR(INDEX(Baarn!$A$43:$A$129,MATCH($A72,Baarn!$C$43:$C$129,0)),""))</f>
        <v/>
      </c>
      <c r="F72" s="15">
        <f>IF($A72="",0,IFERROR(INDEX(Baarn!$I$43:$I$129,MATCH($A72,Baarn!$C$43:$C$129,0)),0))</f>
        <v>0</v>
      </c>
      <c r="G72" s="24" t="str">
        <f>IF($A72="","",IFERROR(INDEX(Scherpenzeel!$A$210:$A$309,MATCH($A72,Scherpenzeel!$C$210:$C$309,0)),""))</f>
        <v/>
      </c>
      <c r="H72" s="15">
        <f>IF($A72="",0,IFERROR(INDEX(Scherpenzeel!$I$210:$I$309,MATCH($A72,Scherpenzeel!$C$210:$C$309,0)),0))</f>
        <v>0</v>
      </c>
      <c r="I72" s="24" t="str">
        <f>IF($A72="","",IFERROR(INDEX('4'!$A$210:$A$309,MATCH($A72,'4'!$C$210:$C$309,0)),""))</f>
        <v/>
      </c>
      <c r="J72" s="15">
        <f>IF($A72="",0,IFERROR(INDEX('4'!$I$210:$I$309,MATCH($A72,'4'!$C$210:$C$309,0)),0))</f>
        <v>0</v>
      </c>
      <c r="K72" s="24" t="str">
        <f>IF($A72="","",IFERROR(INDEX('5'!$A$210:$A$309,MATCH($A72,'5'!$C$210:$C$309,0)),""))</f>
        <v/>
      </c>
      <c r="L72" s="15">
        <f>IF($A72="",0,IFERROR(INDEX('5'!$I$210:$I$309,MATCH($A72,'5'!$C$210:$C$309,0)),0))</f>
        <v>0</v>
      </c>
      <c r="M72" s="25" t="str">
        <f>IF($A72="","",D72+F72+H72+J72+L72)</f>
        <v/>
      </c>
      <c r="N72" s="26" t="str">
        <f>IF(OR($A72="",M72="",M72=0),"",RANK(M72,$M$4:$M$203,0))</f>
        <v/>
      </c>
      <c r="AA72">
        <f>Baarn!C114</f>
        <v>0</v>
      </c>
      <c r="AB72">
        <f>IF(AA72="",0,IF(COUNTIF($AA$1:AA72,AA72)=1,1,0))</f>
        <v>0</v>
      </c>
      <c r="AC72" t="str">
        <f>IF(AB72=1,COUNTIF($AB$1:AB72,1),"")</f>
        <v/>
      </c>
    </row>
    <row r="73" spans="1:29" x14ac:dyDescent="0.25">
      <c r="A73" s="13" t="str">
        <f>IFERROR(INDEX($AA$1:$AA$387,MATCH(70,$AC$1:$AC$387,0)),"")</f>
        <v/>
      </c>
      <c r="B73" s="13" t="str">
        <f>IF($A73="","",IF(IFERROR(INDEX(Baarn!$F$43:$F$129,MATCH($A73,Baarn!$C$43:$C$129,0)),"")&lt;&gt;"",IFERROR(INDEX(Baarn!$F$43:$F$129,MATCH($A73,Baarn!$C$43:$C$129,0)),""),IF(IFERROR(INDEX(Scherpenzeel!$F$210:$F$309,MATCH($A73,Scherpenzeel!$C$210:$C$309,0)),"")&lt;&gt;"",IFERROR(INDEX(Scherpenzeel!$F$210:$F$309,MATCH($A73,Scherpenzeel!$C$210:$C$309,0)),""),IF(IFERROR(INDEX('4'!$F$210:$F$309,MATCH($A73,'4'!$C$210:$C$309,0)),"")&lt;&gt;"",IFERROR(INDEX('4'!$F$210:$F$309,MATCH($A73,'4'!$C$210:$C$309,0)),""),IFERROR(INDEX('5'!$F$210:$F$309,MATCH($A73,'5'!$C$210:$C$309,0)),"")))))</f>
        <v/>
      </c>
      <c r="C73" s="24" t="str">
        <f>""</f>
        <v/>
      </c>
      <c r="D73" s="15">
        <f>0</f>
        <v>0</v>
      </c>
      <c r="E73" s="24" t="str">
        <f>IF($A73="","",IFERROR(INDEX(Baarn!$A$43:$A$129,MATCH($A73,Baarn!$C$43:$C$129,0)),""))</f>
        <v/>
      </c>
      <c r="F73" s="15">
        <f>IF($A73="",0,IFERROR(INDEX(Baarn!$I$43:$I$129,MATCH($A73,Baarn!$C$43:$C$129,0)),0))</f>
        <v>0</v>
      </c>
      <c r="G73" s="24" t="str">
        <f>IF($A73="","",IFERROR(INDEX(Scherpenzeel!$A$210:$A$309,MATCH($A73,Scherpenzeel!$C$210:$C$309,0)),""))</f>
        <v/>
      </c>
      <c r="H73" s="15">
        <f>IF($A73="",0,IFERROR(INDEX(Scherpenzeel!$I$210:$I$309,MATCH($A73,Scherpenzeel!$C$210:$C$309,0)),0))</f>
        <v>0</v>
      </c>
      <c r="I73" s="24" t="str">
        <f>IF($A73="","",IFERROR(INDEX('4'!$A$210:$A$309,MATCH($A73,'4'!$C$210:$C$309,0)),""))</f>
        <v/>
      </c>
      <c r="J73" s="15">
        <f>IF($A73="",0,IFERROR(INDEX('4'!$I$210:$I$309,MATCH($A73,'4'!$C$210:$C$309,0)),0))</f>
        <v>0</v>
      </c>
      <c r="K73" s="24" t="str">
        <f>IF($A73="","",IFERROR(INDEX('5'!$A$210:$A$309,MATCH($A73,'5'!$C$210:$C$309,0)),""))</f>
        <v/>
      </c>
      <c r="L73" s="15">
        <f>IF($A73="",0,IFERROR(INDEX('5'!$I$210:$I$309,MATCH($A73,'5'!$C$210:$C$309,0)),0))</f>
        <v>0</v>
      </c>
      <c r="M73" s="25" t="str">
        <f>IF($A73="","",D73+F73+H73+J73+L73)</f>
        <v/>
      </c>
      <c r="N73" s="26" t="str">
        <f>IF(OR($A73="",M73="",M73=0),"",RANK(M73,$M$4:$M$203,0))</f>
        <v/>
      </c>
      <c r="AA73">
        <f>Baarn!C115</f>
        <v>0</v>
      </c>
      <c r="AB73">
        <f>IF(AA73="",0,IF(COUNTIF($AA$1:AA73,AA73)=1,1,0))</f>
        <v>0</v>
      </c>
      <c r="AC73" t="str">
        <f>IF(AB73=1,COUNTIF($AB$1:AB73,1),"")</f>
        <v/>
      </c>
    </row>
    <row r="74" spans="1:29" x14ac:dyDescent="0.25">
      <c r="A74" s="13" t="str">
        <f>IFERROR(INDEX($AA$1:$AA$387,MATCH(71,$AC$1:$AC$387,0)),"")</f>
        <v/>
      </c>
      <c r="B74" s="13" t="str">
        <f>IF($A74="","",IF(IFERROR(INDEX(Baarn!$F$43:$F$129,MATCH($A74,Baarn!$C$43:$C$129,0)),"")&lt;&gt;"",IFERROR(INDEX(Baarn!$F$43:$F$129,MATCH($A74,Baarn!$C$43:$C$129,0)),""),IF(IFERROR(INDEX(Scherpenzeel!$F$210:$F$309,MATCH($A74,Scherpenzeel!$C$210:$C$309,0)),"")&lt;&gt;"",IFERROR(INDEX(Scherpenzeel!$F$210:$F$309,MATCH($A74,Scherpenzeel!$C$210:$C$309,0)),""),IF(IFERROR(INDEX('4'!$F$210:$F$309,MATCH($A74,'4'!$C$210:$C$309,0)),"")&lt;&gt;"",IFERROR(INDEX('4'!$F$210:$F$309,MATCH($A74,'4'!$C$210:$C$309,0)),""),IFERROR(INDEX('5'!$F$210:$F$309,MATCH($A74,'5'!$C$210:$C$309,0)),"")))))</f>
        <v/>
      </c>
      <c r="C74" s="24" t="str">
        <f>""</f>
        <v/>
      </c>
      <c r="D74" s="15">
        <f>0</f>
        <v>0</v>
      </c>
      <c r="E74" s="24" t="str">
        <f>IF($A74="","",IFERROR(INDEX(Baarn!$A$43:$A$129,MATCH($A74,Baarn!$C$43:$C$129,0)),""))</f>
        <v/>
      </c>
      <c r="F74" s="15">
        <f>IF($A74="",0,IFERROR(INDEX(Baarn!$I$43:$I$129,MATCH($A74,Baarn!$C$43:$C$129,0)),0))</f>
        <v>0</v>
      </c>
      <c r="G74" s="24" t="str">
        <f>IF($A74="","",IFERROR(INDEX(Scherpenzeel!$A$210:$A$309,MATCH($A74,Scherpenzeel!$C$210:$C$309,0)),""))</f>
        <v/>
      </c>
      <c r="H74" s="15">
        <f>IF($A74="",0,IFERROR(INDEX(Scherpenzeel!$I$210:$I$309,MATCH($A74,Scherpenzeel!$C$210:$C$309,0)),0))</f>
        <v>0</v>
      </c>
      <c r="I74" s="24" t="str">
        <f>IF($A74="","",IFERROR(INDEX('4'!$A$210:$A$309,MATCH($A74,'4'!$C$210:$C$309,0)),""))</f>
        <v/>
      </c>
      <c r="J74" s="15">
        <f>IF($A74="",0,IFERROR(INDEX('4'!$I$210:$I$309,MATCH($A74,'4'!$C$210:$C$309,0)),0))</f>
        <v>0</v>
      </c>
      <c r="K74" s="24" t="str">
        <f>IF($A74="","",IFERROR(INDEX('5'!$A$210:$A$309,MATCH($A74,'5'!$C$210:$C$309,0)),""))</f>
        <v/>
      </c>
      <c r="L74" s="15">
        <f>IF($A74="",0,IFERROR(INDEX('5'!$I$210:$I$309,MATCH($A74,'5'!$C$210:$C$309,0)),0))</f>
        <v>0</v>
      </c>
      <c r="M74" s="25" t="str">
        <f>IF($A74="","",D74+F74+H74+J74+L74)</f>
        <v/>
      </c>
      <c r="N74" s="26" t="str">
        <f>IF(OR($A74="",M74="",M74=0),"",RANK(M74,$M$4:$M$203,0))</f>
        <v/>
      </c>
      <c r="AA74">
        <f>Baarn!C116</f>
        <v>0</v>
      </c>
      <c r="AB74">
        <f>IF(AA74="",0,IF(COUNTIF($AA$1:AA74,AA74)=1,1,0))</f>
        <v>0</v>
      </c>
      <c r="AC74" t="str">
        <f>IF(AB74=1,COUNTIF($AB$1:AB74,1),"")</f>
        <v/>
      </c>
    </row>
    <row r="75" spans="1:29" x14ac:dyDescent="0.25">
      <c r="A75" s="13" t="str">
        <f>IFERROR(INDEX($AA$1:$AA$387,MATCH(72,$AC$1:$AC$387,0)),"")</f>
        <v/>
      </c>
      <c r="B75" s="13" t="str">
        <f>IF($A75="","",IF(IFERROR(INDEX(Baarn!$F$43:$F$129,MATCH($A75,Baarn!$C$43:$C$129,0)),"")&lt;&gt;"",IFERROR(INDEX(Baarn!$F$43:$F$129,MATCH($A75,Baarn!$C$43:$C$129,0)),""),IF(IFERROR(INDEX(Scherpenzeel!$F$210:$F$309,MATCH($A75,Scherpenzeel!$C$210:$C$309,0)),"")&lt;&gt;"",IFERROR(INDEX(Scherpenzeel!$F$210:$F$309,MATCH($A75,Scherpenzeel!$C$210:$C$309,0)),""),IF(IFERROR(INDEX('4'!$F$210:$F$309,MATCH($A75,'4'!$C$210:$C$309,0)),"")&lt;&gt;"",IFERROR(INDEX('4'!$F$210:$F$309,MATCH($A75,'4'!$C$210:$C$309,0)),""),IFERROR(INDEX('5'!$F$210:$F$309,MATCH($A75,'5'!$C$210:$C$309,0)),"")))))</f>
        <v/>
      </c>
      <c r="C75" s="24" t="str">
        <f>""</f>
        <v/>
      </c>
      <c r="D75" s="15">
        <f>0</f>
        <v>0</v>
      </c>
      <c r="E75" s="24" t="str">
        <f>IF($A75="","",IFERROR(INDEX(Baarn!$A$43:$A$129,MATCH($A75,Baarn!$C$43:$C$129,0)),""))</f>
        <v/>
      </c>
      <c r="F75" s="15">
        <f>IF($A75="",0,IFERROR(INDEX(Baarn!$I$43:$I$129,MATCH($A75,Baarn!$C$43:$C$129,0)),0))</f>
        <v>0</v>
      </c>
      <c r="G75" s="24" t="str">
        <f>IF($A75="","",IFERROR(INDEX(Scherpenzeel!$A$210:$A$309,MATCH($A75,Scherpenzeel!$C$210:$C$309,0)),""))</f>
        <v/>
      </c>
      <c r="H75" s="15">
        <f>IF($A75="",0,IFERROR(INDEX(Scherpenzeel!$I$210:$I$309,MATCH($A75,Scherpenzeel!$C$210:$C$309,0)),0))</f>
        <v>0</v>
      </c>
      <c r="I75" s="24" t="str">
        <f>IF($A75="","",IFERROR(INDEX('4'!$A$210:$A$309,MATCH($A75,'4'!$C$210:$C$309,0)),""))</f>
        <v/>
      </c>
      <c r="J75" s="15">
        <f>IF($A75="",0,IFERROR(INDEX('4'!$I$210:$I$309,MATCH($A75,'4'!$C$210:$C$309,0)),0))</f>
        <v>0</v>
      </c>
      <c r="K75" s="24" t="str">
        <f>IF($A75="","",IFERROR(INDEX('5'!$A$210:$A$309,MATCH($A75,'5'!$C$210:$C$309,0)),""))</f>
        <v/>
      </c>
      <c r="L75" s="15">
        <f>IF($A75="",0,IFERROR(INDEX('5'!$I$210:$I$309,MATCH($A75,'5'!$C$210:$C$309,0)),0))</f>
        <v>0</v>
      </c>
      <c r="M75" s="25" t="str">
        <f>IF($A75="","",D75+F75+H75+J75+L75)</f>
        <v/>
      </c>
      <c r="N75" s="26" t="str">
        <f>IF(OR($A75="",M75="",M75=0),"",RANK(M75,$M$4:$M$203,0))</f>
        <v/>
      </c>
      <c r="AA75">
        <f>Baarn!C117</f>
        <v>0</v>
      </c>
      <c r="AB75">
        <f>IF(AA75="",0,IF(COUNTIF($AA$1:AA75,AA75)=1,1,0))</f>
        <v>0</v>
      </c>
      <c r="AC75" t="str">
        <f>IF(AB75=1,COUNTIF($AB$1:AB75,1),"")</f>
        <v/>
      </c>
    </row>
    <row r="76" spans="1:29" x14ac:dyDescent="0.25">
      <c r="A76" s="13" t="str">
        <f>IFERROR(INDEX($AA$1:$AA$387,MATCH(73,$AC$1:$AC$387,0)),"")</f>
        <v/>
      </c>
      <c r="B76" s="13" t="str">
        <f>IF($A76="","",IF(IFERROR(INDEX(Baarn!$F$43:$F$129,MATCH($A76,Baarn!$C$43:$C$129,0)),"")&lt;&gt;"",IFERROR(INDEX(Baarn!$F$43:$F$129,MATCH($A76,Baarn!$C$43:$C$129,0)),""),IF(IFERROR(INDEX(Scherpenzeel!$F$210:$F$309,MATCH($A76,Scherpenzeel!$C$210:$C$309,0)),"")&lt;&gt;"",IFERROR(INDEX(Scherpenzeel!$F$210:$F$309,MATCH($A76,Scherpenzeel!$C$210:$C$309,0)),""),IF(IFERROR(INDEX('4'!$F$210:$F$309,MATCH($A76,'4'!$C$210:$C$309,0)),"")&lt;&gt;"",IFERROR(INDEX('4'!$F$210:$F$309,MATCH($A76,'4'!$C$210:$C$309,0)),""),IFERROR(INDEX('5'!$F$210:$F$309,MATCH($A76,'5'!$C$210:$C$309,0)),"")))))</f>
        <v/>
      </c>
      <c r="C76" s="24" t="str">
        <f>""</f>
        <v/>
      </c>
      <c r="D76" s="15">
        <f>0</f>
        <v>0</v>
      </c>
      <c r="E76" s="24" t="str">
        <f>IF($A76="","",IFERROR(INDEX(Baarn!$A$43:$A$129,MATCH($A76,Baarn!$C$43:$C$129,0)),""))</f>
        <v/>
      </c>
      <c r="F76" s="15">
        <f>IF($A76="",0,IFERROR(INDEX(Baarn!$I$43:$I$129,MATCH($A76,Baarn!$C$43:$C$129,0)),0))</f>
        <v>0</v>
      </c>
      <c r="G76" s="24" t="str">
        <f>IF($A76="","",IFERROR(INDEX(Scherpenzeel!$A$210:$A$309,MATCH($A76,Scherpenzeel!$C$210:$C$309,0)),""))</f>
        <v/>
      </c>
      <c r="H76" s="15">
        <f>IF($A76="",0,IFERROR(INDEX(Scherpenzeel!$I$210:$I$309,MATCH($A76,Scherpenzeel!$C$210:$C$309,0)),0))</f>
        <v>0</v>
      </c>
      <c r="I76" s="24" t="str">
        <f>IF($A76="","",IFERROR(INDEX('4'!$A$210:$A$309,MATCH($A76,'4'!$C$210:$C$309,0)),""))</f>
        <v/>
      </c>
      <c r="J76" s="15">
        <f>IF($A76="",0,IFERROR(INDEX('4'!$I$210:$I$309,MATCH($A76,'4'!$C$210:$C$309,0)),0))</f>
        <v>0</v>
      </c>
      <c r="K76" s="24" t="str">
        <f>IF($A76="","",IFERROR(INDEX('5'!$A$210:$A$309,MATCH($A76,'5'!$C$210:$C$309,0)),""))</f>
        <v/>
      </c>
      <c r="L76" s="15">
        <f>IF($A76="",0,IFERROR(INDEX('5'!$I$210:$I$309,MATCH($A76,'5'!$C$210:$C$309,0)),0))</f>
        <v>0</v>
      </c>
      <c r="M76" s="25" t="str">
        <f>IF($A76="","",D76+F76+H76+J76+L76)</f>
        <v/>
      </c>
      <c r="N76" s="26" t="str">
        <f>IF(OR($A76="",M76="",M76=0),"",RANK(M76,$M$4:$M$203,0))</f>
        <v/>
      </c>
      <c r="AA76">
        <f>Baarn!C118</f>
        <v>0</v>
      </c>
      <c r="AB76">
        <f>IF(AA76="",0,IF(COUNTIF($AA$1:AA76,AA76)=1,1,0))</f>
        <v>0</v>
      </c>
      <c r="AC76" t="str">
        <f>IF(AB76=1,COUNTIF($AB$1:AB76,1),"")</f>
        <v/>
      </c>
    </row>
    <row r="77" spans="1:29" x14ac:dyDescent="0.25">
      <c r="A77" s="13" t="str">
        <f>IFERROR(INDEX($AA$1:$AA$387,MATCH(74,$AC$1:$AC$387,0)),"")</f>
        <v/>
      </c>
      <c r="B77" s="13" t="str">
        <f>IF($A77="","",IF(IFERROR(INDEX(Baarn!$F$43:$F$129,MATCH($A77,Baarn!$C$43:$C$129,0)),"")&lt;&gt;"",IFERROR(INDEX(Baarn!$F$43:$F$129,MATCH($A77,Baarn!$C$43:$C$129,0)),""),IF(IFERROR(INDEX(Scherpenzeel!$F$210:$F$309,MATCH($A77,Scherpenzeel!$C$210:$C$309,0)),"")&lt;&gt;"",IFERROR(INDEX(Scherpenzeel!$F$210:$F$309,MATCH($A77,Scherpenzeel!$C$210:$C$309,0)),""),IF(IFERROR(INDEX('4'!$F$210:$F$309,MATCH($A77,'4'!$C$210:$C$309,0)),"")&lt;&gt;"",IFERROR(INDEX('4'!$F$210:$F$309,MATCH($A77,'4'!$C$210:$C$309,0)),""),IFERROR(INDEX('5'!$F$210:$F$309,MATCH($A77,'5'!$C$210:$C$309,0)),"")))))</f>
        <v/>
      </c>
      <c r="C77" s="24" t="str">
        <f>""</f>
        <v/>
      </c>
      <c r="D77" s="15">
        <f>0</f>
        <v>0</v>
      </c>
      <c r="E77" s="24" t="str">
        <f>IF($A77="","",IFERROR(INDEX(Baarn!$A$43:$A$129,MATCH($A77,Baarn!$C$43:$C$129,0)),""))</f>
        <v/>
      </c>
      <c r="F77" s="15">
        <f>IF($A77="",0,IFERROR(INDEX(Baarn!$I$43:$I$129,MATCH($A77,Baarn!$C$43:$C$129,0)),0))</f>
        <v>0</v>
      </c>
      <c r="G77" s="24" t="str">
        <f>IF($A77="","",IFERROR(INDEX(Scherpenzeel!$A$210:$A$309,MATCH($A77,Scherpenzeel!$C$210:$C$309,0)),""))</f>
        <v/>
      </c>
      <c r="H77" s="15">
        <f>IF($A77="",0,IFERROR(INDEX(Scherpenzeel!$I$210:$I$309,MATCH($A77,Scherpenzeel!$C$210:$C$309,0)),0))</f>
        <v>0</v>
      </c>
      <c r="I77" s="24" t="str">
        <f>IF($A77="","",IFERROR(INDEX('4'!$A$210:$A$309,MATCH($A77,'4'!$C$210:$C$309,0)),""))</f>
        <v/>
      </c>
      <c r="J77" s="15">
        <f>IF($A77="",0,IFERROR(INDEX('4'!$I$210:$I$309,MATCH($A77,'4'!$C$210:$C$309,0)),0))</f>
        <v>0</v>
      </c>
      <c r="K77" s="24" t="str">
        <f>IF($A77="","",IFERROR(INDEX('5'!$A$210:$A$309,MATCH($A77,'5'!$C$210:$C$309,0)),""))</f>
        <v/>
      </c>
      <c r="L77" s="15">
        <f>IF($A77="",0,IFERROR(INDEX('5'!$I$210:$I$309,MATCH($A77,'5'!$C$210:$C$309,0)),0))</f>
        <v>0</v>
      </c>
      <c r="M77" s="25" t="str">
        <f>IF($A77="","",D77+F77+H77+J77+L77)</f>
        <v/>
      </c>
      <c r="N77" s="26" t="str">
        <f>IF(OR($A77="",M77="",M77=0),"",RANK(M77,$M$4:$M$203,0))</f>
        <v/>
      </c>
      <c r="AA77">
        <f>Baarn!C119</f>
        <v>0</v>
      </c>
      <c r="AB77">
        <f>IF(AA77="",0,IF(COUNTIF($AA$1:AA77,AA77)=1,1,0))</f>
        <v>0</v>
      </c>
      <c r="AC77" t="str">
        <f>IF(AB77=1,COUNTIF($AB$1:AB77,1),"")</f>
        <v/>
      </c>
    </row>
    <row r="78" spans="1:29" x14ac:dyDescent="0.25">
      <c r="A78" s="13" t="str">
        <f>IFERROR(INDEX($AA$1:$AA$387,MATCH(75,$AC$1:$AC$387,0)),"")</f>
        <v/>
      </c>
      <c r="B78" s="13" t="str">
        <f>IF($A78="","",IF(IFERROR(INDEX(Baarn!$F$43:$F$129,MATCH($A78,Baarn!$C$43:$C$129,0)),"")&lt;&gt;"",IFERROR(INDEX(Baarn!$F$43:$F$129,MATCH($A78,Baarn!$C$43:$C$129,0)),""),IF(IFERROR(INDEX(Scherpenzeel!$F$210:$F$309,MATCH($A78,Scherpenzeel!$C$210:$C$309,0)),"")&lt;&gt;"",IFERROR(INDEX(Scherpenzeel!$F$210:$F$309,MATCH($A78,Scherpenzeel!$C$210:$C$309,0)),""),IF(IFERROR(INDEX('4'!$F$210:$F$309,MATCH($A78,'4'!$C$210:$C$309,0)),"")&lt;&gt;"",IFERROR(INDEX('4'!$F$210:$F$309,MATCH($A78,'4'!$C$210:$C$309,0)),""),IFERROR(INDEX('5'!$F$210:$F$309,MATCH($A78,'5'!$C$210:$C$309,0)),"")))))</f>
        <v/>
      </c>
      <c r="C78" s="24" t="str">
        <f>""</f>
        <v/>
      </c>
      <c r="D78" s="15">
        <f>0</f>
        <v>0</v>
      </c>
      <c r="E78" s="24" t="str">
        <f>IF($A78="","",IFERROR(INDEX(Baarn!$A$43:$A$129,MATCH($A78,Baarn!$C$43:$C$129,0)),""))</f>
        <v/>
      </c>
      <c r="F78" s="15">
        <f>IF($A78="",0,IFERROR(INDEX(Baarn!$I$43:$I$129,MATCH($A78,Baarn!$C$43:$C$129,0)),0))</f>
        <v>0</v>
      </c>
      <c r="G78" s="24" t="str">
        <f>IF($A78="","",IFERROR(INDEX(Scherpenzeel!$A$210:$A$309,MATCH($A78,Scherpenzeel!$C$210:$C$309,0)),""))</f>
        <v/>
      </c>
      <c r="H78" s="15">
        <f>IF($A78="",0,IFERROR(INDEX(Scherpenzeel!$I$210:$I$309,MATCH($A78,Scherpenzeel!$C$210:$C$309,0)),0))</f>
        <v>0</v>
      </c>
      <c r="I78" s="24" t="str">
        <f>IF($A78="","",IFERROR(INDEX('4'!$A$210:$A$309,MATCH($A78,'4'!$C$210:$C$309,0)),""))</f>
        <v/>
      </c>
      <c r="J78" s="15">
        <f>IF($A78="",0,IFERROR(INDEX('4'!$I$210:$I$309,MATCH($A78,'4'!$C$210:$C$309,0)),0))</f>
        <v>0</v>
      </c>
      <c r="K78" s="24" t="str">
        <f>IF($A78="","",IFERROR(INDEX('5'!$A$210:$A$309,MATCH($A78,'5'!$C$210:$C$309,0)),""))</f>
        <v/>
      </c>
      <c r="L78" s="15">
        <f>IF($A78="",0,IFERROR(INDEX('5'!$I$210:$I$309,MATCH($A78,'5'!$C$210:$C$309,0)),0))</f>
        <v>0</v>
      </c>
      <c r="M78" s="25" t="str">
        <f>IF($A78="","",D78+F78+H78+J78+L78)</f>
        <v/>
      </c>
      <c r="N78" s="26" t="str">
        <f>IF(OR($A78="",M78="",M78=0),"",RANK(M78,$M$4:$M$203,0))</f>
        <v/>
      </c>
      <c r="AA78">
        <f>Baarn!C120</f>
        <v>0</v>
      </c>
      <c r="AB78">
        <f>IF(AA78="",0,IF(COUNTIF($AA$1:AA78,AA78)=1,1,0))</f>
        <v>0</v>
      </c>
      <c r="AC78" t="str">
        <f>IF(AB78=1,COUNTIF($AB$1:AB78,1),"")</f>
        <v/>
      </c>
    </row>
    <row r="79" spans="1:29" x14ac:dyDescent="0.25">
      <c r="A79" s="13" t="str">
        <f>IFERROR(INDEX($AA$1:$AA$387,MATCH(76,$AC$1:$AC$387,0)),"")</f>
        <v/>
      </c>
      <c r="B79" s="13" t="str">
        <f>IF($A79="","",IF(IFERROR(INDEX(Baarn!$F$43:$F$129,MATCH($A79,Baarn!$C$43:$C$129,0)),"")&lt;&gt;"",IFERROR(INDEX(Baarn!$F$43:$F$129,MATCH($A79,Baarn!$C$43:$C$129,0)),""),IF(IFERROR(INDEX(Scherpenzeel!$F$210:$F$309,MATCH($A79,Scherpenzeel!$C$210:$C$309,0)),"")&lt;&gt;"",IFERROR(INDEX(Scherpenzeel!$F$210:$F$309,MATCH($A79,Scherpenzeel!$C$210:$C$309,0)),""),IF(IFERROR(INDEX('4'!$F$210:$F$309,MATCH($A79,'4'!$C$210:$C$309,0)),"")&lt;&gt;"",IFERROR(INDEX('4'!$F$210:$F$309,MATCH($A79,'4'!$C$210:$C$309,0)),""),IFERROR(INDEX('5'!$F$210:$F$309,MATCH($A79,'5'!$C$210:$C$309,0)),"")))))</f>
        <v/>
      </c>
      <c r="C79" s="24" t="str">
        <f>""</f>
        <v/>
      </c>
      <c r="D79" s="15">
        <f>0</f>
        <v>0</v>
      </c>
      <c r="E79" s="24" t="str">
        <f>IF($A79="","",IFERROR(INDEX(Baarn!$A$43:$A$129,MATCH($A79,Baarn!$C$43:$C$129,0)),""))</f>
        <v/>
      </c>
      <c r="F79" s="15">
        <f>IF($A79="",0,IFERROR(INDEX(Baarn!$I$43:$I$129,MATCH($A79,Baarn!$C$43:$C$129,0)),0))</f>
        <v>0</v>
      </c>
      <c r="G79" s="24" t="str">
        <f>IF($A79="","",IFERROR(INDEX(Scherpenzeel!$A$210:$A$309,MATCH($A79,Scherpenzeel!$C$210:$C$309,0)),""))</f>
        <v/>
      </c>
      <c r="H79" s="15">
        <f>IF($A79="",0,IFERROR(INDEX(Scherpenzeel!$I$210:$I$309,MATCH($A79,Scherpenzeel!$C$210:$C$309,0)),0))</f>
        <v>0</v>
      </c>
      <c r="I79" s="24" t="str">
        <f>IF($A79="","",IFERROR(INDEX('4'!$A$210:$A$309,MATCH($A79,'4'!$C$210:$C$309,0)),""))</f>
        <v/>
      </c>
      <c r="J79" s="15">
        <f>IF($A79="",0,IFERROR(INDEX('4'!$I$210:$I$309,MATCH($A79,'4'!$C$210:$C$309,0)),0))</f>
        <v>0</v>
      </c>
      <c r="K79" s="24" t="str">
        <f>IF($A79="","",IFERROR(INDEX('5'!$A$210:$A$309,MATCH($A79,'5'!$C$210:$C$309,0)),""))</f>
        <v/>
      </c>
      <c r="L79" s="15">
        <f>IF($A79="",0,IFERROR(INDEX('5'!$I$210:$I$309,MATCH($A79,'5'!$C$210:$C$309,0)),0))</f>
        <v>0</v>
      </c>
      <c r="M79" s="25" t="str">
        <f>IF($A79="","",D79+F79+H79+J79+L79)</f>
        <v/>
      </c>
      <c r="N79" s="26" t="str">
        <f>IF(OR($A79="",M79="",M79=0),"",RANK(M79,$M$4:$M$203,0))</f>
        <v/>
      </c>
      <c r="AA79">
        <f>Baarn!C121</f>
        <v>0</v>
      </c>
      <c r="AB79">
        <f>IF(AA79="",0,IF(COUNTIF($AA$1:AA79,AA79)=1,1,0))</f>
        <v>0</v>
      </c>
      <c r="AC79" t="str">
        <f>IF(AB79=1,COUNTIF($AB$1:AB79,1),"")</f>
        <v/>
      </c>
    </row>
    <row r="80" spans="1:29" x14ac:dyDescent="0.25">
      <c r="A80" s="13" t="str">
        <f>IFERROR(INDEX($AA$1:$AA$387,MATCH(77,$AC$1:$AC$387,0)),"")</f>
        <v/>
      </c>
      <c r="B80" s="13" t="str">
        <f>IF($A80="","",IF(IFERROR(INDEX(Baarn!$F$43:$F$129,MATCH($A80,Baarn!$C$43:$C$129,0)),"")&lt;&gt;"",IFERROR(INDEX(Baarn!$F$43:$F$129,MATCH($A80,Baarn!$C$43:$C$129,0)),""),IF(IFERROR(INDEX(Scherpenzeel!$F$210:$F$309,MATCH($A80,Scherpenzeel!$C$210:$C$309,0)),"")&lt;&gt;"",IFERROR(INDEX(Scherpenzeel!$F$210:$F$309,MATCH($A80,Scherpenzeel!$C$210:$C$309,0)),""),IF(IFERROR(INDEX('4'!$F$210:$F$309,MATCH($A80,'4'!$C$210:$C$309,0)),"")&lt;&gt;"",IFERROR(INDEX('4'!$F$210:$F$309,MATCH($A80,'4'!$C$210:$C$309,0)),""),IFERROR(INDEX('5'!$F$210:$F$309,MATCH($A80,'5'!$C$210:$C$309,0)),"")))))</f>
        <v/>
      </c>
      <c r="C80" s="24" t="str">
        <f>""</f>
        <v/>
      </c>
      <c r="D80" s="15">
        <f>0</f>
        <v>0</v>
      </c>
      <c r="E80" s="24" t="str">
        <f>IF($A80="","",IFERROR(INDEX(Baarn!$A$43:$A$129,MATCH($A80,Baarn!$C$43:$C$129,0)),""))</f>
        <v/>
      </c>
      <c r="F80" s="15">
        <f>IF($A80="",0,IFERROR(INDEX(Baarn!$I$43:$I$129,MATCH($A80,Baarn!$C$43:$C$129,0)),0))</f>
        <v>0</v>
      </c>
      <c r="G80" s="24" t="str">
        <f>IF($A80="","",IFERROR(INDEX(Scherpenzeel!$A$210:$A$309,MATCH($A80,Scherpenzeel!$C$210:$C$309,0)),""))</f>
        <v/>
      </c>
      <c r="H80" s="15">
        <f>IF($A80="",0,IFERROR(INDEX(Scherpenzeel!$I$210:$I$309,MATCH($A80,Scherpenzeel!$C$210:$C$309,0)),0))</f>
        <v>0</v>
      </c>
      <c r="I80" s="24" t="str">
        <f>IF($A80="","",IFERROR(INDEX('4'!$A$210:$A$309,MATCH($A80,'4'!$C$210:$C$309,0)),""))</f>
        <v/>
      </c>
      <c r="J80" s="15">
        <f>IF($A80="",0,IFERROR(INDEX('4'!$I$210:$I$309,MATCH($A80,'4'!$C$210:$C$309,0)),0))</f>
        <v>0</v>
      </c>
      <c r="K80" s="24" t="str">
        <f>IF($A80="","",IFERROR(INDEX('5'!$A$210:$A$309,MATCH($A80,'5'!$C$210:$C$309,0)),""))</f>
        <v/>
      </c>
      <c r="L80" s="15">
        <f>IF($A80="",0,IFERROR(INDEX('5'!$I$210:$I$309,MATCH($A80,'5'!$C$210:$C$309,0)),0))</f>
        <v>0</v>
      </c>
      <c r="M80" s="25" t="str">
        <f>IF($A80="","",D80+F80+H80+J80+L80)</f>
        <v/>
      </c>
      <c r="N80" s="26" t="str">
        <f>IF(OR($A80="",M80="",M80=0),"",RANK(M80,$M$4:$M$203,0))</f>
        <v/>
      </c>
      <c r="AA80">
        <f>Baarn!C122</f>
        <v>0</v>
      </c>
      <c r="AB80">
        <f>IF(AA80="",0,IF(COUNTIF($AA$1:AA80,AA80)=1,1,0))</f>
        <v>0</v>
      </c>
      <c r="AC80" t="str">
        <f>IF(AB80=1,COUNTIF($AB$1:AB80,1),"")</f>
        <v/>
      </c>
    </row>
    <row r="81" spans="1:29" x14ac:dyDescent="0.25">
      <c r="A81" s="13" t="str">
        <f>IFERROR(INDEX($AA$1:$AA$387,MATCH(78,$AC$1:$AC$387,0)),"")</f>
        <v/>
      </c>
      <c r="B81" s="13" t="str">
        <f>IF($A81="","",IF(IFERROR(INDEX(Baarn!$F$43:$F$129,MATCH($A81,Baarn!$C$43:$C$129,0)),"")&lt;&gt;"",IFERROR(INDEX(Baarn!$F$43:$F$129,MATCH($A81,Baarn!$C$43:$C$129,0)),""),IF(IFERROR(INDEX(Scherpenzeel!$F$210:$F$309,MATCH($A81,Scherpenzeel!$C$210:$C$309,0)),"")&lt;&gt;"",IFERROR(INDEX(Scherpenzeel!$F$210:$F$309,MATCH($A81,Scherpenzeel!$C$210:$C$309,0)),""),IF(IFERROR(INDEX('4'!$F$210:$F$309,MATCH($A81,'4'!$C$210:$C$309,0)),"")&lt;&gt;"",IFERROR(INDEX('4'!$F$210:$F$309,MATCH($A81,'4'!$C$210:$C$309,0)),""),IFERROR(INDEX('5'!$F$210:$F$309,MATCH($A81,'5'!$C$210:$C$309,0)),"")))))</f>
        <v/>
      </c>
      <c r="C81" s="24" t="str">
        <f>""</f>
        <v/>
      </c>
      <c r="D81" s="15">
        <f>0</f>
        <v>0</v>
      </c>
      <c r="E81" s="24" t="str">
        <f>IF($A81="","",IFERROR(INDEX(Baarn!$A$43:$A$129,MATCH($A81,Baarn!$C$43:$C$129,0)),""))</f>
        <v/>
      </c>
      <c r="F81" s="15">
        <f>IF($A81="",0,IFERROR(INDEX(Baarn!$I$43:$I$129,MATCH($A81,Baarn!$C$43:$C$129,0)),0))</f>
        <v>0</v>
      </c>
      <c r="G81" s="24" t="str">
        <f>IF($A81="","",IFERROR(INDEX(Scherpenzeel!$A$210:$A$309,MATCH($A81,Scherpenzeel!$C$210:$C$309,0)),""))</f>
        <v/>
      </c>
      <c r="H81" s="15">
        <f>IF($A81="",0,IFERROR(INDEX(Scherpenzeel!$I$210:$I$309,MATCH($A81,Scherpenzeel!$C$210:$C$309,0)),0))</f>
        <v>0</v>
      </c>
      <c r="I81" s="24" t="str">
        <f>IF($A81="","",IFERROR(INDEX('4'!$A$210:$A$309,MATCH($A81,'4'!$C$210:$C$309,0)),""))</f>
        <v/>
      </c>
      <c r="J81" s="15">
        <f>IF($A81="",0,IFERROR(INDEX('4'!$I$210:$I$309,MATCH($A81,'4'!$C$210:$C$309,0)),0))</f>
        <v>0</v>
      </c>
      <c r="K81" s="24" t="str">
        <f>IF($A81="","",IFERROR(INDEX('5'!$A$210:$A$309,MATCH($A81,'5'!$C$210:$C$309,0)),""))</f>
        <v/>
      </c>
      <c r="L81" s="15">
        <f>IF($A81="",0,IFERROR(INDEX('5'!$I$210:$I$309,MATCH($A81,'5'!$C$210:$C$309,0)),0))</f>
        <v>0</v>
      </c>
      <c r="M81" s="25" t="str">
        <f>IF($A81="","",D81+F81+H81+J81+L81)</f>
        <v/>
      </c>
      <c r="N81" s="26" t="str">
        <f>IF(OR($A81="",M81="",M81=0),"",RANK(M81,$M$4:$M$203,0))</f>
        <v/>
      </c>
      <c r="AA81">
        <f>Baarn!C123</f>
        <v>0</v>
      </c>
      <c r="AB81">
        <f>IF(AA81="",0,IF(COUNTIF($AA$1:AA81,AA81)=1,1,0))</f>
        <v>0</v>
      </c>
      <c r="AC81" t="str">
        <f>IF(AB81=1,COUNTIF($AB$1:AB81,1),"")</f>
        <v/>
      </c>
    </row>
    <row r="82" spans="1:29" x14ac:dyDescent="0.25">
      <c r="A82" s="13" t="str">
        <f>IFERROR(INDEX($AA$1:$AA$387,MATCH(79,$AC$1:$AC$387,0)),"")</f>
        <v/>
      </c>
      <c r="B82" s="13" t="str">
        <f>IF($A82="","",IF(IFERROR(INDEX(Baarn!$F$43:$F$129,MATCH($A82,Baarn!$C$43:$C$129,0)),"")&lt;&gt;"",IFERROR(INDEX(Baarn!$F$43:$F$129,MATCH($A82,Baarn!$C$43:$C$129,0)),""),IF(IFERROR(INDEX(Scherpenzeel!$F$210:$F$309,MATCH($A82,Scherpenzeel!$C$210:$C$309,0)),"")&lt;&gt;"",IFERROR(INDEX(Scherpenzeel!$F$210:$F$309,MATCH($A82,Scherpenzeel!$C$210:$C$309,0)),""),IF(IFERROR(INDEX('4'!$F$210:$F$309,MATCH($A82,'4'!$C$210:$C$309,0)),"")&lt;&gt;"",IFERROR(INDEX('4'!$F$210:$F$309,MATCH($A82,'4'!$C$210:$C$309,0)),""),IFERROR(INDEX('5'!$F$210:$F$309,MATCH($A82,'5'!$C$210:$C$309,0)),"")))))</f>
        <v/>
      </c>
      <c r="C82" s="24" t="str">
        <f>""</f>
        <v/>
      </c>
      <c r="D82" s="15">
        <f>0</f>
        <v>0</v>
      </c>
      <c r="E82" s="24" t="str">
        <f>IF($A82="","",IFERROR(INDEX(Baarn!$A$43:$A$129,MATCH($A82,Baarn!$C$43:$C$129,0)),""))</f>
        <v/>
      </c>
      <c r="F82" s="15">
        <f>IF($A82="",0,IFERROR(INDEX(Baarn!$I$43:$I$129,MATCH($A82,Baarn!$C$43:$C$129,0)),0))</f>
        <v>0</v>
      </c>
      <c r="G82" s="24" t="str">
        <f>IF($A82="","",IFERROR(INDEX(Scherpenzeel!$A$210:$A$309,MATCH($A82,Scherpenzeel!$C$210:$C$309,0)),""))</f>
        <v/>
      </c>
      <c r="H82" s="15">
        <f>IF($A82="",0,IFERROR(INDEX(Scherpenzeel!$I$210:$I$309,MATCH($A82,Scherpenzeel!$C$210:$C$309,0)),0))</f>
        <v>0</v>
      </c>
      <c r="I82" s="24" t="str">
        <f>IF($A82="","",IFERROR(INDEX('4'!$A$210:$A$309,MATCH($A82,'4'!$C$210:$C$309,0)),""))</f>
        <v/>
      </c>
      <c r="J82" s="15">
        <f>IF($A82="",0,IFERROR(INDEX('4'!$I$210:$I$309,MATCH($A82,'4'!$C$210:$C$309,0)),0))</f>
        <v>0</v>
      </c>
      <c r="K82" s="24" t="str">
        <f>IF($A82="","",IFERROR(INDEX('5'!$A$210:$A$309,MATCH($A82,'5'!$C$210:$C$309,0)),""))</f>
        <v/>
      </c>
      <c r="L82" s="15">
        <f>IF($A82="",0,IFERROR(INDEX('5'!$I$210:$I$309,MATCH($A82,'5'!$C$210:$C$309,0)),0))</f>
        <v>0</v>
      </c>
      <c r="M82" s="25" t="str">
        <f>IF($A82="","",D82+F82+H82+J82+L82)</f>
        <v/>
      </c>
      <c r="N82" s="26" t="str">
        <f>IF(OR($A82="",M82="",M82=0),"",RANK(M82,$M$4:$M$203,0))</f>
        <v/>
      </c>
      <c r="AA82">
        <f>Baarn!C124</f>
        <v>0</v>
      </c>
      <c r="AB82">
        <f>IF(AA82="",0,IF(COUNTIF($AA$1:AA82,AA82)=1,1,0))</f>
        <v>0</v>
      </c>
      <c r="AC82" t="str">
        <f>IF(AB82=1,COUNTIF($AB$1:AB82,1),"")</f>
        <v/>
      </c>
    </row>
    <row r="83" spans="1:29" x14ac:dyDescent="0.25">
      <c r="A83" s="13" t="str">
        <f>IFERROR(INDEX($AA$1:$AA$387,MATCH(80,$AC$1:$AC$387,0)),"")</f>
        <v/>
      </c>
      <c r="B83" s="13" t="str">
        <f>IF($A83="","",IF(IFERROR(INDEX(Baarn!$F$43:$F$129,MATCH($A83,Baarn!$C$43:$C$129,0)),"")&lt;&gt;"",IFERROR(INDEX(Baarn!$F$43:$F$129,MATCH($A83,Baarn!$C$43:$C$129,0)),""),IF(IFERROR(INDEX(Scherpenzeel!$F$210:$F$309,MATCH($A83,Scherpenzeel!$C$210:$C$309,0)),"")&lt;&gt;"",IFERROR(INDEX(Scherpenzeel!$F$210:$F$309,MATCH($A83,Scherpenzeel!$C$210:$C$309,0)),""),IF(IFERROR(INDEX('4'!$F$210:$F$309,MATCH($A83,'4'!$C$210:$C$309,0)),"")&lt;&gt;"",IFERROR(INDEX('4'!$F$210:$F$309,MATCH($A83,'4'!$C$210:$C$309,0)),""),IFERROR(INDEX('5'!$F$210:$F$309,MATCH($A83,'5'!$C$210:$C$309,0)),"")))))</f>
        <v/>
      </c>
      <c r="C83" s="24" t="str">
        <f>""</f>
        <v/>
      </c>
      <c r="D83" s="15">
        <f>0</f>
        <v>0</v>
      </c>
      <c r="E83" s="24" t="str">
        <f>IF($A83="","",IFERROR(INDEX(Baarn!$A$43:$A$129,MATCH($A83,Baarn!$C$43:$C$129,0)),""))</f>
        <v/>
      </c>
      <c r="F83" s="15">
        <f>IF($A83="",0,IFERROR(INDEX(Baarn!$I$43:$I$129,MATCH($A83,Baarn!$C$43:$C$129,0)),0))</f>
        <v>0</v>
      </c>
      <c r="G83" s="24" t="str">
        <f>IF($A83="","",IFERROR(INDEX(Scherpenzeel!$A$210:$A$309,MATCH($A83,Scherpenzeel!$C$210:$C$309,0)),""))</f>
        <v/>
      </c>
      <c r="H83" s="15">
        <f>IF($A83="",0,IFERROR(INDEX(Scherpenzeel!$I$210:$I$309,MATCH($A83,Scherpenzeel!$C$210:$C$309,0)),0))</f>
        <v>0</v>
      </c>
      <c r="I83" s="24" t="str">
        <f>IF($A83="","",IFERROR(INDEX('4'!$A$210:$A$309,MATCH($A83,'4'!$C$210:$C$309,0)),""))</f>
        <v/>
      </c>
      <c r="J83" s="15">
        <f>IF($A83="",0,IFERROR(INDEX('4'!$I$210:$I$309,MATCH($A83,'4'!$C$210:$C$309,0)),0))</f>
        <v>0</v>
      </c>
      <c r="K83" s="24" t="str">
        <f>IF($A83="","",IFERROR(INDEX('5'!$A$210:$A$309,MATCH($A83,'5'!$C$210:$C$309,0)),""))</f>
        <v/>
      </c>
      <c r="L83" s="15">
        <f>IF($A83="",0,IFERROR(INDEX('5'!$I$210:$I$309,MATCH($A83,'5'!$C$210:$C$309,0)),0))</f>
        <v>0</v>
      </c>
      <c r="M83" s="25" t="str">
        <f>IF($A83="","",D83+F83+H83+J83+L83)</f>
        <v/>
      </c>
      <c r="N83" s="26" t="str">
        <f>IF(OR($A83="",M83="",M83=0),"",RANK(M83,$M$4:$M$203,0))</f>
        <v/>
      </c>
      <c r="AA83">
        <f>Baarn!C125</f>
        <v>0</v>
      </c>
      <c r="AB83">
        <f>IF(AA83="",0,IF(COUNTIF($AA$1:AA83,AA83)=1,1,0))</f>
        <v>0</v>
      </c>
      <c r="AC83" t="str">
        <f>IF(AB83=1,COUNTIF($AB$1:AB83,1),"")</f>
        <v/>
      </c>
    </row>
    <row r="84" spans="1:29" x14ac:dyDescent="0.25">
      <c r="A84" s="13" t="str">
        <f>IFERROR(INDEX($AA$1:$AA$387,MATCH(81,$AC$1:$AC$387,0)),"")</f>
        <v/>
      </c>
      <c r="B84" s="13" t="str">
        <f>IF($A84="","",IF(IFERROR(INDEX(Baarn!$F$43:$F$129,MATCH($A84,Baarn!$C$43:$C$129,0)),"")&lt;&gt;"",IFERROR(INDEX(Baarn!$F$43:$F$129,MATCH($A84,Baarn!$C$43:$C$129,0)),""),IF(IFERROR(INDEX(Scherpenzeel!$F$210:$F$309,MATCH($A84,Scherpenzeel!$C$210:$C$309,0)),"")&lt;&gt;"",IFERROR(INDEX(Scherpenzeel!$F$210:$F$309,MATCH($A84,Scherpenzeel!$C$210:$C$309,0)),""),IF(IFERROR(INDEX('4'!$F$210:$F$309,MATCH($A84,'4'!$C$210:$C$309,0)),"")&lt;&gt;"",IFERROR(INDEX('4'!$F$210:$F$309,MATCH($A84,'4'!$C$210:$C$309,0)),""),IFERROR(INDEX('5'!$F$210:$F$309,MATCH($A84,'5'!$C$210:$C$309,0)),"")))))</f>
        <v/>
      </c>
      <c r="C84" s="24" t="str">
        <f>""</f>
        <v/>
      </c>
      <c r="D84" s="15">
        <f>0</f>
        <v>0</v>
      </c>
      <c r="E84" s="24" t="str">
        <f>IF($A84="","",IFERROR(INDEX(Baarn!$A$43:$A$129,MATCH($A84,Baarn!$C$43:$C$129,0)),""))</f>
        <v/>
      </c>
      <c r="F84" s="15">
        <f>IF($A84="",0,IFERROR(INDEX(Baarn!$I$43:$I$129,MATCH($A84,Baarn!$C$43:$C$129,0)),0))</f>
        <v>0</v>
      </c>
      <c r="G84" s="24" t="str">
        <f>IF($A84="","",IFERROR(INDEX(Scherpenzeel!$A$210:$A$309,MATCH($A84,Scherpenzeel!$C$210:$C$309,0)),""))</f>
        <v/>
      </c>
      <c r="H84" s="15">
        <f>IF($A84="",0,IFERROR(INDEX(Scherpenzeel!$I$210:$I$309,MATCH($A84,Scherpenzeel!$C$210:$C$309,0)),0))</f>
        <v>0</v>
      </c>
      <c r="I84" s="24" t="str">
        <f>IF($A84="","",IFERROR(INDEX('4'!$A$210:$A$309,MATCH($A84,'4'!$C$210:$C$309,0)),""))</f>
        <v/>
      </c>
      <c r="J84" s="15">
        <f>IF($A84="",0,IFERROR(INDEX('4'!$I$210:$I$309,MATCH($A84,'4'!$C$210:$C$309,0)),0))</f>
        <v>0</v>
      </c>
      <c r="K84" s="24" t="str">
        <f>IF($A84="","",IFERROR(INDEX('5'!$A$210:$A$309,MATCH($A84,'5'!$C$210:$C$309,0)),""))</f>
        <v/>
      </c>
      <c r="L84" s="15">
        <f>IF($A84="",0,IFERROR(INDEX('5'!$I$210:$I$309,MATCH($A84,'5'!$C$210:$C$309,0)),0))</f>
        <v>0</v>
      </c>
      <c r="M84" s="25" t="str">
        <f>IF($A84="","",D84+F84+H84+J84+L84)</f>
        <v/>
      </c>
      <c r="N84" s="26" t="str">
        <f>IF(OR($A84="",M84="",M84=0),"",RANK(M84,$M$4:$M$203,0))</f>
        <v/>
      </c>
      <c r="AA84">
        <f>Baarn!C126</f>
        <v>0</v>
      </c>
      <c r="AB84">
        <f>IF(AA84="",0,IF(COUNTIF($AA$1:AA84,AA84)=1,1,0))</f>
        <v>0</v>
      </c>
      <c r="AC84" t="str">
        <f>IF(AB84=1,COUNTIF($AB$1:AB84,1),"")</f>
        <v/>
      </c>
    </row>
    <row r="85" spans="1:29" x14ac:dyDescent="0.25">
      <c r="A85" s="13" t="str">
        <f>IFERROR(INDEX($AA$1:$AA$387,MATCH(82,$AC$1:$AC$387,0)),"")</f>
        <v/>
      </c>
      <c r="B85" s="13" t="str">
        <f>IF($A85="","",IF(IFERROR(INDEX(Baarn!$F$43:$F$129,MATCH($A85,Baarn!$C$43:$C$129,0)),"")&lt;&gt;"",IFERROR(INDEX(Baarn!$F$43:$F$129,MATCH($A85,Baarn!$C$43:$C$129,0)),""),IF(IFERROR(INDEX(Scherpenzeel!$F$210:$F$309,MATCH($A85,Scherpenzeel!$C$210:$C$309,0)),"")&lt;&gt;"",IFERROR(INDEX(Scherpenzeel!$F$210:$F$309,MATCH($A85,Scherpenzeel!$C$210:$C$309,0)),""),IF(IFERROR(INDEX('4'!$F$210:$F$309,MATCH($A85,'4'!$C$210:$C$309,0)),"")&lt;&gt;"",IFERROR(INDEX('4'!$F$210:$F$309,MATCH($A85,'4'!$C$210:$C$309,0)),""),IFERROR(INDEX('5'!$F$210:$F$309,MATCH($A85,'5'!$C$210:$C$309,0)),"")))))</f>
        <v/>
      </c>
      <c r="C85" s="24" t="str">
        <f>""</f>
        <v/>
      </c>
      <c r="D85" s="15">
        <f>0</f>
        <v>0</v>
      </c>
      <c r="E85" s="24" t="str">
        <f>IF($A85="","",IFERROR(INDEX(Baarn!$A$43:$A$129,MATCH($A85,Baarn!$C$43:$C$129,0)),""))</f>
        <v/>
      </c>
      <c r="F85" s="15">
        <f>IF($A85="",0,IFERROR(INDEX(Baarn!$I$43:$I$129,MATCH($A85,Baarn!$C$43:$C$129,0)),0))</f>
        <v>0</v>
      </c>
      <c r="G85" s="24" t="str">
        <f>IF($A85="","",IFERROR(INDEX(Scherpenzeel!$A$210:$A$309,MATCH($A85,Scherpenzeel!$C$210:$C$309,0)),""))</f>
        <v/>
      </c>
      <c r="H85" s="15">
        <f>IF($A85="",0,IFERROR(INDEX(Scherpenzeel!$I$210:$I$309,MATCH($A85,Scherpenzeel!$C$210:$C$309,0)),0))</f>
        <v>0</v>
      </c>
      <c r="I85" s="24" t="str">
        <f>IF($A85="","",IFERROR(INDEX('4'!$A$210:$A$309,MATCH($A85,'4'!$C$210:$C$309,0)),""))</f>
        <v/>
      </c>
      <c r="J85" s="15">
        <f>IF($A85="",0,IFERROR(INDEX('4'!$I$210:$I$309,MATCH($A85,'4'!$C$210:$C$309,0)),0))</f>
        <v>0</v>
      </c>
      <c r="K85" s="24" t="str">
        <f>IF($A85="","",IFERROR(INDEX('5'!$A$210:$A$309,MATCH($A85,'5'!$C$210:$C$309,0)),""))</f>
        <v/>
      </c>
      <c r="L85" s="15">
        <f>IF($A85="",0,IFERROR(INDEX('5'!$I$210:$I$309,MATCH($A85,'5'!$C$210:$C$309,0)),0))</f>
        <v>0</v>
      </c>
      <c r="M85" s="25" t="str">
        <f>IF($A85="","",D85+F85+H85+J85+L85)</f>
        <v/>
      </c>
      <c r="N85" s="26" t="str">
        <f>IF(OR($A85="",M85="",M85=0),"",RANK(M85,$M$4:$M$203,0))</f>
        <v/>
      </c>
      <c r="AA85">
        <f>Baarn!C127</f>
        <v>0</v>
      </c>
      <c r="AB85">
        <f>IF(AA85="",0,IF(COUNTIF($AA$1:AA85,AA85)=1,1,0))</f>
        <v>0</v>
      </c>
      <c r="AC85" t="str">
        <f>IF(AB85=1,COUNTIF($AB$1:AB85,1),"")</f>
        <v/>
      </c>
    </row>
    <row r="86" spans="1:29" x14ac:dyDescent="0.25">
      <c r="A86" s="13" t="str">
        <f>IFERROR(INDEX($AA$1:$AA$387,MATCH(83,$AC$1:$AC$387,0)),"")</f>
        <v/>
      </c>
      <c r="B86" s="13" t="str">
        <f>IF($A86="","",IF(IFERROR(INDEX(Baarn!$F$43:$F$129,MATCH($A86,Baarn!$C$43:$C$129,0)),"")&lt;&gt;"",IFERROR(INDEX(Baarn!$F$43:$F$129,MATCH($A86,Baarn!$C$43:$C$129,0)),""),IF(IFERROR(INDEX(Scherpenzeel!$F$210:$F$309,MATCH($A86,Scherpenzeel!$C$210:$C$309,0)),"")&lt;&gt;"",IFERROR(INDEX(Scherpenzeel!$F$210:$F$309,MATCH($A86,Scherpenzeel!$C$210:$C$309,0)),""),IF(IFERROR(INDEX('4'!$F$210:$F$309,MATCH($A86,'4'!$C$210:$C$309,0)),"")&lt;&gt;"",IFERROR(INDEX('4'!$F$210:$F$309,MATCH($A86,'4'!$C$210:$C$309,0)),""),IFERROR(INDEX('5'!$F$210:$F$309,MATCH($A86,'5'!$C$210:$C$309,0)),"")))))</f>
        <v/>
      </c>
      <c r="C86" s="24" t="str">
        <f>""</f>
        <v/>
      </c>
      <c r="D86" s="15">
        <f>0</f>
        <v>0</v>
      </c>
      <c r="E86" s="24" t="str">
        <f>IF($A86="","",IFERROR(INDEX(Baarn!$A$43:$A$129,MATCH($A86,Baarn!$C$43:$C$129,0)),""))</f>
        <v/>
      </c>
      <c r="F86" s="15">
        <f>IF($A86="",0,IFERROR(INDEX(Baarn!$I$43:$I$129,MATCH($A86,Baarn!$C$43:$C$129,0)),0))</f>
        <v>0</v>
      </c>
      <c r="G86" s="24" t="str">
        <f>IF($A86="","",IFERROR(INDEX(Scherpenzeel!$A$210:$A$309,MATCH($A86,Scherpenzeel!$C$210:$C$309,0)),""))</f>
        <v/>
      </c>
      <c r="H86" s="15">
        <f>IF($A86="",0,IFERROR(INDEX(Scherpenzeel!$I$210:$I$309,MATCH($A86,Scherpenzeel!$C$210:$C$309,0)),0))</f>
        <v>0</v>
      </c>
      <c r="I86" s="24" t="str">
        <f>IF($A86="","",IFERROR(INDEX('4'!$A$210:$A$309,MATCH($A86,'4'!$C$210:$C$309,0)),""))</f>
        <v/>
      </c>
      <c r="J86" s="15">
        <f>IF($A86="",0,IFERROR(INDEX('4'!$I$210:$I$309,MATCH($A86,'4'!$C$210:$C$309,0)),0))</f>
        <v>0</v>
      </c>
      <c r="K86" s="24" t="str">
        <f>IF($A86="","",IFERROR(INDEX('5'!$A$210:$A$309,MATCH($A86,'5'!$C$210:$C$309,0)),""))</f>
        <v/>
      </c>
      <c r="L86" s="15">
        <f>IF($A86="",0,IFERROR(INDEX('5'!$I$210:$I$309,MATCH($A86,'5'!$C$210:$C$309,0)),0))</f>
        <v>0</v>
      </c>
      <c r="M86" s="25" t="str">
        <f>IF($A86="","",D86+F86+H86+J86+L86)</f>
        <v/>
      </c>
      <c r="N86" s="26" t="str">
        <f>IF(OR($A86="",M86="",M86=0),"",RANK(M86,$M$4:$M$203,0))</f>
        <v/>
      </c>
      <c r="AA86">
        <f>Baarn!C128</f>
        <v>0</v>
      </c>
      <c r="AB86">
        <f>IF(AA86="",0,IF(COUNTIF($AA$1:AA86,AA86)=1,1,0))</f>
        <v>0</v>
      </c>
      <c r="AC86" t="str">
        <f>IF(AB86=1,COUNTIF($AB$1:AB86,1),"")</f>
        <v/>
      </c>
    </row>
    <row r="87" spans="1:29" x14ac:dyDescent="0.25">
      <c r="A87" s="13" t="str">
        <f>IFERROR(INDEX($AA$1:$AA$387,MATCH(84,$AC$1:$AC$387,0)),"")</f>
        <v/>
      </c>
      <c r="B87" s="13" t="str">
        <f>IF($A87="","",IF(IFERROR(INDEX(Baarn!$F$43:$F$129,MATCH($A87,Baarn!$C$43:$C$129,0)),"")&lt;&gt;"",IFERROR(INDEX(Baarn!$F$43:$F$129,MATCH($A87,Baarn!$C$43:$C$129,0)),""),IF(IFERROR(INDEX(Scherpenzeel!$F$210:$F$309,MATCH($A87,Scherpenzeel!$C$210:$C$309,0)),"")&lt;&gt;"",IFERROR(INDEX(Scherpenzeel!$F$210:$F$309,MATCH($A87,Scherpenzeel!$C$210:$C$309,0)),""),IF(IFERROR(INDEX('4'!$F$210:$F$309,MATCH($A87,'4'!$C$210:$C$309,0)),"")&lt;&gt;"",IFERROR(INDEX('4'!$F$210:$F$309,MATCH($A87,'4'!$C$210:$C$309,0)),""),IFERROR(INDEX('5'!$F$210:$F$309,MATCH($A87,'5'!$C$210:$C$309,0)),"")))))</f>
        <v/>
      </c>
      <c r="C87" s="24" t="str">
        <f>""</f>
        <v/>
      </c>
      <c r="D87" s="15">
        <f>0</f>
        <v>0</v>
      </c>
      <c r="E87" s="24" t="str">
        <f>IF($A87="","",IFERROR(INDEX(Baarn!$A$43:$A$129,MATCH($A87,Baarn!$C$43:$C$129,0)),""))</f>
        <v/>
      </c>
      <c r="F87" s="15">
        <f>IF($A87="",0,IFERROR(INDEX(Baarn!$I$43:$I$129,MATCH($A87,Baarn!$C$43:$C$129,0)),0))</f>
        <v>0</v>
      </c>
      <c r="G87" s="24" t="str">
        <f>IF($A87="","",IFERROR(INDEX(Scherpenzeel!$A$210:$A$309,MATCH($A87,Scherpenzeel!$C$210:$C$309,0)),""))</f>
        <v/>
      </c>
      <c r="H87" s="15">
        <f>IF($A87="",0,IFERROR(INDEX(Scherpenzeel!$I$210:$I$309,MATCH($A87,Scherpenzeel!$C$210:$C$309,0)),0))</f>
        <v>0</v>
      </c>
      <c r="I87" s="24" t="str">
        <f>IF($A87="","",IFERROR(INDEX('4'!$A$210:$A$309,MATCH($A87,'4'!$C$210:$C$309,0)),""))</f>
        <v/>
      </c>
      <c r="J87" s="15">
        <f>IF($A87="",0,IFERROR(INDEX('4'!$I$210:$I$309,MATCH($A87,'4'!$C$210:$C$309,0)),0))</f>
        <v>0</v>
      </c>
      <c r="K87" s="24" t="str">
        <f>IF($A87="","",IFERROR(INDEX('5'!$A$210:$A$309,MATCH($A87,'5'!$C$210:$C$309,0)),""))</f>
        <v/>
      </c>
      <c r="L87" s="15">
        <f>IF($A87="",0,IFERROR(INDEX('5'!$I$210:$I$309,MATCH($A87,'5'!$C$210:$C$309,0)),0))</f>
        <v>0</v>
      </c>
      <c r="M87" s="25" t="str">
        <f>IF($A87="","",D87+F87+H87+J87+L87)</f>
        <v/>
      </c>
      <c r="N87" s="26" t="str">
        <f>IF(OR($A87="",M87="",M87=0),"",RANK(M87,$M$4:$M$203,0))</f>
        <v/>
      </c>
      <c r="AA87">
        <f>Baarn!C129</f>
        <v>0</v>
      </c>
      <c r="AB87">
        <f>IF(AA87="",0,IF(COUNTIF($AA$1:AA87,AA87)=1,1,0))</f>
        <v>0</v>
      </c>
      <c r="AC87" t="str">
        <f>IF(AB87=1,COUNTIF($AB$1:AB87,1),"")</f>
        <v/>
      </c>
    </row>
    <row r="88" spans="1:29" x14ac:dyDescent="0.25">
      <c r="A88" s="13" t="str">
        <f>IFERROR(INDEX($AA$1:$AA$387,MATCH(85,$AC$1:$AC$387,0)),"")</f>
        <v/>
      </c>
      <c r="B88" s="13" t="str">
        <f>IF($A88="","",IF(IFERROR(INDEX(Baarn!$F$43:$F$129,MATCH($A88,Baarn!$C$43:$C$129,0)),"")&lt;&gt;"",IFERROR(INDEX(Baarn!$F$43:$F$129,MATCH($A88,Baarn!$C$43:$C$129,0)),""),IF(IFERROR(INDEX(Scherpenzeel!$F$210:$F$309,MATCH($A88,Scherpenzeel!$C$210:$C$309,0)),"")&lt;&gt;"",IFERROR(INDEX(Scherpenzeel!$F$210:$F$309,MATCH($A88,Scherpenzeel!$C$210:$C$309,0)),""),IF(IFERROR(INDEX('4'!$F$210:$F$309,MATCH($A88,'4'!$C$210:$C$309,0)),"")&lt;&gt;"",IFERROR(INDEX('4'!$F$210:$F$309,MATCH($A88,'4'!$C$210:$C$309,0)),""),IFERROR(INDEX('5'!$F$210:$F$309,MATCH($A88,'5'!$C$210:$C$309,0)),"")))))</f>
        <v/>
      </c>
      <c r="C88" s="24" t="str">
        <f>""</f>
        <v/>
      </c>
      <c r="D88" s="15">
        <f>0</f>
        <v>0</v>
      </c>
      <c r="E88" s="24" t="str">
        <f>IF($A88="","",IFERROR(INDEX(Baarn!$A$43:$A$129,MATCH($A88,Baarn!$C$43:$C$129,0)),""))</f>
        <v/>
      </c>
      <c r="F88" s="15">
        <f>IF($A88="",0,IFERROR(INDEX(Baarn!$I$43:$I$129,MATCH($A88,Baarn!$C$43:$C$129,0)),0))</f>
        <v>0</v>
      </c>
      <c r="G88" s="24" t="str">
        <f>IF($A88="","",IFERROR(INDEX(Scherpenzeel!$A$210:$A$309,MATCH($A88,Scherpenzeel!$C$210:$C$309,0)),""))</f>
        <v/>
      </c>
      <c r="H88" s="15">
        <f>IF($A88="",0,IFERROR(INDEX(Scherpenzeel!$I$210:$I$309,MATCH($A88,Scherpenzeel!$C$210:$C$309,0)),0))</f>
        <v>0</v>
      </c>
      <c r="I88" s="24" t="str">
        <f>IF($A88="","",IFERROR(INDEX('4'!$A$210:$A$309,MATCH($A88,'4'!$C$210:$C$309,0)),""))</f>
        <v/>
      </c>
      <c r="J88" s="15">
        <f>IF($A88="",0,IFERROR(INDEX('4'!$I$210:$I$309,MATCH($A88,'4'!$C$210:$C$309,0)),0))</f>
        <v>0</v>
      </c>
      <c r="K88" s="24" t="str">
        <f>IF($A88="","",IFERROR(INDEX('5'!$A$210:$A$309,MATCH($A88,'5'!$C$210:$C$309,0)),""))</f>
        <v/>
      </c>
      <c r="L88" s="15">
        <f>IF($A88="",0,IFERROR(INDEX('5'!$I$210:$I$309,MATCH($A88,'5'!$C$210:$C$309,0)),0))</f>
        <v>0</v>
      </c>
      <c r="M88" s="25" t="str">
        <f>IF($A88="","",D88+F88+H88+J88+L88)</f>
        <v/>
      </c>
      <c r="N88" s="26" t="str">
        <f>IF(OR($A88="",M88="",M88=0),"",RANK(M88,$M$4:$M$203,0))</f>
        <v/>
      </c>
      <c r="AA88" t="str">
        <f>Scherpenzeel!C210</f>
        <v>Owen Chenault</v>
      </c>
      <c r="AB88">
        <f>IF(AA88="",0,IF(COUNTIF($AA$1:AA88,AA88)=1,1,0))</f>
        <v>1</v>
      </c>
      <c r="AC88">
        <f>IF(AB88=1,COUNTIF($AB$1:AB88,1),"")</f>
        <v>9</v>
      </c>
    </row>
    <row r="89" spans="1:29" x14ac:dyDescent="0.25">
      <c r="A89" s="13" t="str">
        <f>IFERROR(INDEX($AA$1:$AA$387,MATCH(86,$AC$1:$AC$387,0)),"")</f>
        <v/>
      </c>
      <c r="B89" s="13" t="str">
        <f>IF($A89="","",IF(IFERROR(INDEX(Baarn!$F$43:$F$129,MATCH($A89,Baarn!$C$43:$C$129,0)),"")&lt;&gt;"",IFERROR(INDEX(Baarn!$F$43:$F$129,MATCH($A89,Baarn!$C$43:$C$129,0)),""),IF(IFERROR(INDEX(Scherpenzeel!$F$210:$F$309,MATCH($A89,Scherpenzeel!$C$210:$C$309,0)),"")&lt;&gt;"",IFERROR(INDEX(Scherpenzeel!$F$210:$F$309,MATCH($A89,Scherpenzeel!$C$210:$C$309,0)),""),IF(IFERROR(INDEX('4'!$F$210:$F$309,MATCH($A89,'4'!$C$210:$C$309,0)),"")&lt;&gt;"",IFERROR(INDEX('4'!$F$210:$F$309,MATCH($A89,'4'!$C$210:$C$309,0)),""),IFERROR(INDEX('5'!$F$210:$F$309,MATCH($A89,'5'!$C$210:$C$309,0)),"")))))</f>
        <v/>
      </c>
      <c r="C89" s="24" t="str">
        <f>""</f>
        <v/>
      </c>
      <c r="D89" s="15">
        <f>0</f>
        <v>0</v>
      </c>
      <c r="E89" s="24" t="str">
        <f>IF($A89="","",IFERROR(INDEX(Baarn!$A$43:$A$129,MATCH($A89,Baarn!$C$43:$C$129,0)),""))</f>
        <v/>
      </c>
      <c r="F89" s="15">
        <f>IF($A89="",0,IFERROR(INDEX(Baarn!$I$43:$I$129,MATCH($A89,Baarn!$C$43:$C$129,0)),0))</f>
        <v>0</v>
      </c>
      <c r="G89" s="24" t="str">
        <f>IF($A89="","",IFERROR(INDEX(Scherpenzeel!$A$210:$A$309,MATCH($A89,Scherpenzeel!$C$210:$C$309,0)),""))</f>
        <v/>
      </c>
      <c r="H89" s="15">
        <f>IF($A89="",0,IFERROR(INDEX(Scherpenzeel!$I$210:$I$309,MATCH($A89,Scherpenzeel!$C$210:$C$309,0)),0))</f>
        <v>0</v>
      </c>
      <c r="I89" s="24" t="str">
        <f>IF($A89="","",IFERROR(INDEX('4'!$A$210:$A$309,MATCH($A89,'4'!$C$210:$C$309,0)),""))</f>
        <v/>
      </c>
      <c r="J89" s="15">
        <f>IF($A89="",0,IFERROR(INDEX('4'!$I$210:$I$309,MATCH($A89,'4'!$C$210:$C$309,0)),0))</f>
        <v>0</v>
      </c>
      <c r="K89" s="24" t="str">
        <f>IF($A89="","",IFERROR(INDEX('5'!$A$210:$A$309,MATCH($A89,'5'!$C$210:$C$309,0)),""))</f>
        <v/>
      </c>
      <c r="L89" s="15">
        <f>IF($A89="",0,IFERROR(INDEX('5'!$I$210:$I$309,MATCH($A89,'5'!$C$210:$C$309,0)),0))</f>
        <v>0</v>
      </c>
      <c r="M89" s="25" t="str">
        <f>IF($A89="","",D89+F89+H89+J89+L89)</f>
        <v/>
      </c>
      <c r="N89" s="26" t="str">
        <f>IF(OR($A89="",M89="",M89=0),"",RANK(M89,$M$4:$M$203,0))</f>
        <v/>
      </c>
      <c r="AA89" t="str">
        <f>Scherpenzeel!C211</f>
        <v>Finn Klaus</v>
      </c>
      <c r="AB89">
        <f>IF(AA89="",0,IF(COUNTIF($AA$1:AA89,AA89)=1,1,0))</f>
        <v>1</v>
      </c>
      <c r="AC89">
        <f>IF(AB89=1,COUNTIF($AB$1:AB89,1),"")</f>
        <v>10</v>
      </c>
    </row>
    <row r="90" spans="1:29" x14ac:dyDescent="0.25">
      <c r="A90" s="13" t="str">
        <f>IFERROR(INDEX($AA$1:$AA$387,MATCH(87,$AC$1:$AC$387,0)),"")</f>
        <v/>
      </c>
      <c r="B90" s="13" t="str">
        <f>IF($A90="","",IF(IFERROR(INDEX(Baarn!$F$43:$F$129,MATCH($A90,Baarn!$C$43:$C$129,0)),"")&lt;&gt;"",IFERROR(INDEX(Baarn!$F$43:$F$129,MATCH($A90,Baarn!$C$43:$C$129,0)),""),IF(IFERROR(INDEX(Scherpenzeel!$F$210:$F$309,MATCH($A90,Scherpenzeel!$C$210:$C$309,0)),"")&lt;&gt;"",IFERROR(INDEX(Scherpenzeel!$F$210:$F$309,MATCH($A90,Scherpenzeel!$C$210:$C$309,0)),""),IF(IFERROR(INDEX('4'!$F$210:$F$309,MATCH($A90,'4'!$C$210:$C$309,0)),"")&lt;&gt;"",IFERROR(INDEX('4'!$F$210:$F$309,MATCH($A90,'4'!$C$210:$C$309,0)),""),IFERROR(INDEX('5'!$F$210:$F$309,MATCH($A90,'5'!$C$210:$C$309,0)),"")))))</f>
        <v/>
      </c>
      <c r="C90" s="24" t="str">
        <f>""</f>
        <v/>
      </c>
      <c r="D90" s="15">
        <f>0</f>
        <v>0</v>
      </c>
      <c r="E90" s="24" t="str">
        <f>IF($A90="","",IFERROR(INDEX(Baarn!$A$43:$A$129,MATCH($A90,Baarn!$C$43:$C$129,0)),""))</f>
        <v/>
      </c>
      <c r="F90" s="15">
        <f>IF($A90="",0,IFERROR(INDEX(Baarn!$I$43:$I$129,MATCH($A90,Baarn!$C$43:$C$129,0)),0))</f>
        <v>0</v>
      </c>
      <c r="G90" s="24" t="str">
        <f>IF($A90="","",IFERROR(INDEX(Scherpenzeel!$A$210:$A$309,MATCH($A90,Scherpenzeel!$C$210:$C$309,0)),""))</f>
        <v/>
      </c>
      <c r="H90" s="15">
        <f>IF($A90="",0,IFERROR(INDEX(Scherpenzeel!$I$210:$I$309,MATCH($A90,Scherpenzeel!$C$210:$C$309,0)),0))</f>
        <v>0</v>
      </c>
      <c r="I90" s="24" t="str">
        <f>IF($A90="","",IFERROR(INDEX('4'!$A$210:$A$309,MATCH($A90,'4'!$C$210:$C$309,0)),""))</f>
        <v/>
      </c>
      <c r="J90" s="15">
        <f>IF($A90="",0,IFERROR(INDEX('4'!$I$210:$I$309,MATCH($A90,'4'!$C$210:$C$309,0)),0))</f>
        <v>0</v>
      </c>
      <c r="K90" s="24" t="str">
        <f>IF($A90="","",IFERROR(INDEX('5'!$A$210:$A$309,MATCH($A90,'5'!$C$210:$C$309,0)),""))</f>
        <v/>
      </c>
      <c r="L90" s="15">
        <f>IF($A90="",0,IFERROR(INDEX('5'!$I$210:$I$309,MATCH($A90,'5'!$C$210:$C$309,0)),0))</f>
        <v>0</v>
      </c>
      <c r="M90" s="25" t="str">
        <f>IF($A90="","",D90+F90+H90+J90+L90)</f>
        <v/>
      </c>
      <c r="N90" s="26" t="str">
        <f>IF(OR($A90="",M90="",M90=0),"",RANK(M90,$M$4:$M$203,0))</f>
        <v/>
      </c>
      <c r="AA90" t="str">
        <f>Scherpenzeel!C212</f>
        <v>Milan Docter</v>
      </c>
      <c r="AB90">
        <f>IF(AA90="",0,IF(COUNTIF($AA$1:AA90,AA90)=1,1,0))</f>
        <v>1</v>
      </c>
      <c r="AC90">
        <f>IF(AB90=1,COUNTIF($AB$1:AB90,1),"")</f>
        <v>11</v>
      </c>
    </row>
    <row r="91" spans="1:29" x14ac:dyDescent="0.25">
      <c r="A91" s="13" t="str">
        <f>IFERROR(INDEX($AA$1:$AA$387,MATCH(88,$AC$1:$AC$387,0)),"")</f>
        <v/>
      </c>
      <c r="B91" s="13" t="str">
        <f>IF($A91="","",IF(IFERROR(INDEX(Baarn!$F$43:$F$129,MATCH($A91,Baarn!$C$43:$C$129,0)),"")&lt;&gt;"",IFERROR(INDEX(Baarn!$F$43:$F$129,MATCH($A91,Baarn!$C$43:$C$129,0)),""),IF(IFERROR(INDEX(Scherpenzeel!$F$210:$F$309,MATCH($A91,Scherpenzeel!$C$210:$C$309,0)),"")&lt;&gt;"",IFERROR(INDEX(Scherpenzeel!$F$210:$F$309,MATCH($A91,Scherpenzeel!$C$210:$C$309,0)),""),IF(IFERROR(INDEX('4'!$F$210:$F$309,MATCH($A91,'4'!$C$210:$C$309,0)),"")&lt;&gt;"",IFERROR(INDEX('4'!$F$210:$F$309,MATCH($A91,'4'!$C$210:$C$309,0)),""),IFERROR(INDEX('5'!$F$210:$F$309,MATCH($A91,'5'!$C$210:$C$309,0)),"")))))</f>
        <v/>
      </c>
      <c r="C91" s="24" t="str">
        <f>""</f>
        <v/>
      </c>
      <c r="D91" s="15">
        <f>0</f>
        <v>0</v>
      </c>
      <c r="E91" s="24" t="str">
        <f>IF($A91="","",IFERROR(INDEX(Baarn!$A$43:$A$129,MATCH($A91,Baarn!$C$43:$C$129,0)),""))</f>
        <v/>
      </c>
      <c r="F91" s="15">
        <f>IF($A91="",0,IFERROR(INDEX(Baarn!$I$43:$I$129,MATCH($A91,Baarn!$C$43:$C$129,0)),0))</f>
        <v>0</v>
      </c>
      <c r="G91" s="24" t="str">
        <f>IF($A91="","",IFERROR(INDEX(Scherpenzeel!$A$210:$A$309,MATCH($A91,Scherpenzeel!$C$210:$C$309,0)),""))</f>
        <v/>
      </c>
      <c r="H91" s="15">
        <f>IF($A91="",0,IFERROR(INDEX(Scherpenzeel!$I$210:$I$309,MATCH($A91,Scherpenzeel!$C$210:$C$309,0)),0))</f>
        <v>0</v>
      </c>
      <c r="I91" s="24" t="str">
        <f>IF($A91="","",IFERROR(INDEX('4'!$A$210:$A$309,MATCH($A91,'4'!$C$210:$C$309,0)),""))</f>
        <v/>
      </c>
      <c r="J91" s="15">
        <f>IF($A91="",0,IFERROR(INDEX('4'!$I$210:$I$309,MATCH($A91,'4'!$C$210:$C$309,0)),0))</f>
        <v>0</v>
      </c>
      <c r="K91" s="24" t="str">
        <f>IF($A91="","",IFERROR(INDEX('5'!$A$210:$A$309,MATCH($A91,'5'!$C$210:$C$309,0)),""))</f>
        <v/>
      </c>
      <c r="L91" s="15">
        <f>IF($A91="",0,IFERROR(INDEX('5'!$I$210:$I$309,MATCH($A91,'5'!$C$210:$C$309,0)),0))</f>
        <v>0</v>
      </c>
      <c r="M91" s="25" t="str">
        <f>IF($A91="","",D91+F91+H91+J91+L91)</f>
        <v/>
      </c>
      <c r="N91" s="26" t="str">
        <f>IF(OR($A91="",M91="",M91=0),"",RANK(M91,$M$4:$M$203,0))</f>
        <v/>
      </c>
      <c r="AA91" t="str">
        <f>Scherpenzeel!C213</f>
        <v>Nick Snippe</v>
      </c>
      <c r="AB91">
        <f>IF(AA91="",0,IF(COUNTIF($AA$1:AA91,AA91)=1,1,0))</f>
        <v>1</v>
      </c>
      <c r="AC91">
        <f>IF(AB91=1,COUNTIF($AB$1:AB91,1),"")</f>
        <v>12</v>
      </c>
    </row>
    <row r="92" spans="1:29" x14ac:dyDescent="0.25">
      <c r="A92" s="13" t="str">
        <f>IFERROR(INDEX($AA$1:$AA$387,MATCH(89,$AC$1:$AC$387,0)),"")</f>
        <v/>
      </c>
      <c r="B92" s="13" t="str">
        <f>IF($A92="","",IF(IFERROR(INDEX(Baarn!$F$43:$F$129,MATCH($A92,Baarn!$C$43:$C$129,0)),"")&lt;&gt;"",IFERROR(INDEX(Baarn!$F$43:$F$129,MATCH($A92,Baarn!$C$43:$C$129,0)),""),IF(IFERROR(INDEX(Scherpenzeel!$F$210:$F$309,MATCH($A92,Scherpenzeel!$C$210:$C$309,0)),"")&lt;&gt;"",IFERROR(INDEX(Scherpenzeel!$F$210:$F$309,MATCH($A92,Scherpenzeel!$C$210:$C$309,0)),""),IF(IFERROR(INDEX('4'!$F$210:$F$309,MATCH($A92,'4'!$C$210:$C$309,0)),"")&lt;&gt;"",IFERROR(INDEX('4'!$F$210:$F$309,MATCH($A92,'4'!$C$210:$C$309,0)),""),IFERROR(INDEX('5'!$F$210:$F$309,MATCH($A92,'5'!$C$210:$C$309,0)),"")))))</f>
        <v/>
      </c>
      <c r="C92" s="24" t="str">
        <f>""</f>
        <v/>
      </c>
      <c r="D92" s="15">
        <f>0</f>
        <v>0</v>
      </c>
      <c r="E92" s="24" t="str">
        <f>IF($A92="","",IFERROR(INDEX(Baarn!$A$43:$A$129,MATCH($A92,Baarn!$C$43:$C$129,0)),""))</f>
        <v/>
      </c>
      <c r="F92" s="15">
        <f>IF($A92="",0,IFERROR(INDEX(Baarn!$I$43:$I$129,MATCH($A92,Baarn!$C$43:$C$129,0)),0))</f>
        <v>0</v>
      </c>
      <c r="G92" s="24" t="str">
        <f>IF($A92="","",IFERROR(INDEX(Scherpenzeel!$A$210:$A$309,MATCH($A92,Scherpenzeel!$C$210:$C$309,0)),""))</f>
        <v/>
      </c>
      <c r="H92" s="15">
        <f>IF($A92="",0,IFERROR(INDEX(Scherpenzeel!$I$210:$I$309,MATCH($A92,Scherpenzeel!$C$210:$C$309,0)),0))</f>
        <v>0</v>
      </c>
      <c r="I92" s="24" t="str">
        <f>IF($A92="","",IFERROR(INDEX('4'!$A$210:$A$309,MATCH($A92,'4'!$C$210:$C$309,0)),""))</f>
        <v/>
      </c>
      <c r="J92" s="15">
        <f>IF($A92="",0,IFERROR(INDEX('4'!$I$210:$I$309,MATCH($A92,'4'!$C$210:$C$309,0)),0))</f>
        <v>0</v>
      </c>
      <c r="K92" s="24" t="str">
        <f>IF($A92="","",IFERROR(INDEX('5'!$A$210:$A$309,MATCH($A92,'5'!$C$210:$C$309,0)),""))</f>
        <v/>
      </c>
      <c r="L92" s="15">
        <f>IF($A92="",0,IFERROR(INDEX('5'!$I$210:$I$309,MATCH($A92,'5'!$C$210:$C$309,0)),0))</f>
        <v>0</v>
      </c>
      <c r="M92" s="25" t="str">
        <f>IF($A92="","",D92+F92+H92+J92+L92)</f>
        <v/>
      </c>
      <c r="N92" s="26" t="str">
        <f>IF(OR($A92="",M92="",M92=0),"",RANK(M92,$M$4:$M$203,0))</f>
        <v/>
      </c>
      <c r="AA92" t="str">
        <f>Scherpenzeel!C214</f>
        <v>Floris Otto</v>
      </c>
      <c r="AB92">
        <f>IF(AA92="",0,IF(COUNTIF($AA$1:AA92,AA92)=1,1,0))</f>
        <v>1</v>
      </c>
      <c r="AC92">
        <f>IF(AB92=1,COUNTIF($AB$1:AB92,1),"")</f>
        <v>13</v>
      </c>
    </row>
    <row r="93" spans="1:29" x14ac:dyDescent="0.25">
      <c r="A93" s="13" t="str">
        <f>IFERROR(INDEX($AA$1:$AA$387,MATCH(90,$AC$1:$AC$387,0)),"")</f>
        <v/>
      </c>
      <c r="B93" s="13" t="str">
        <f>IF($A93="","",IF(IFERROR(INDEX(Baarn!$F$43:$F$129,MATCH($A93,Baarn!$C$43:$C$129,0)),"")&lt;&gt;"",IFERROR(INDEX(Baarn!$F$43:$F$129,MATCH($A93,Baarn!$C$43:$C$129,0)),""),IF(IFERROR(INDEX(Scherpenzeel!$F$210:$F$309,MATCH($A93,Scherpenzeel!$C$210:$C$309,0)),"")&lt;&gt;"",IFERROR(INDEX(Scherpenzeel!$F$210:$F$309,MATCH($A93,Scherpenzeel!$C$210:$C$309,0)),""),IF(IFERROR(INDEX('4'!$F$210:$F$309,MATCH($A93,'4'!$C$210:$C$309,0)),"")&lt;&gt;"",IFERROR(INDEX('4'!$F$210:$F$309,MATCH($A93,'4'!$C$210:$C$309,0)),""),IFERROR(INDEX('5'!$F$210:$F$309,MATCH($A93,'5'!$C$210:$C$309,0)),"")))))</f>
        <v/>
      </c>
      <c r="C93" s="24" t="str">
        <f>""</f>
        <v/>
      </c>
      <c r="D93" s="15">
        <f>0</f>
        <v>0</v>
      </c>
      <c r="E93" s="24" t="str">
        <f>IF($A93="","",IFERROR(INDEX(Baarn!$A$43:$A$129,MATCH($A93,Baarn!$C$43:$C$129,0)),""))</f>
        <v/>
      </c>
      <c r="F93" s="15">
        <f>IF($A93="",0,IFERROR(INDEX(Baarn!$I$43:$I$129,MATCH($A93,Baarn!$C$43:$C$129,0)),0))</f>
        <v>0</v>
      </c>
      <c r="G93" s="24" t="str">
        <f>IF($A93="","",IFERROR(INDEX(Scherpenzeel!$A$210:$A$309,MATCH($A93,Scherpenzeel!$C$210:$C$309,0)),""))</f>
        <v/>
      </c>
      <c r="H93" s="15">
        <f>IF($A93="",0,IFERROR(INDEX(Scherpenzeel!$I$210:$I$309,MATCH($A93,Scherpenzeel!$C$210:$C$309,0)),0))</f>
        <v>0</v>
      </c>
      <c r="I93" s="24" t="str">
        <f>IF($A93="","",IFERROR(INDEX('4'!$A$210:$A$309,MATCH($A93,'4'!$C$210:$C$309,0)),""))</f>
        <v/>
      </c>
      <c r="J93" s="15">
        <f>IF($A93="",0,IFERROR(INDEX('4'!$I$210:$I$309,MATCH($A93,'4'!$C$210:$C$309,0)),0))</f>
        <v>0</v>
      </c>
      <c r="K93" s="24" t="str">
        <f>IF($A93="","",IFERROR(INDEX('5'!$A$210:$A$309,MATCH($A93,'5'!$C$210:$C$309,0)),""))</f>
        <v/>
      </c>
      <c r="L93" s="15">
        <f>IF($A93="",0,IFERROR(INDEX('5'!$I$210:$I$309,MATCH($A93,'5'!$C$210:$C$309,0)),0))</f>
        <v>0</v>
      </c>
      <c r="M93" s="25" t="str">
        <f>IF($A93="","",D93+F93+H93+J93+L93)</f>
        <v/>
      </c>
      <c r="N93" s="26" t="str">
        <f>IF(OR($A93="",M93="",M93=0),"",RANK(M93,$M$4:$M$203,0))</f>
        <v/>
      </c>
      <c r="AA93" t="str">
        <f>Scherpenzeel!C215</f>
        <v>Thomas van Dijk</v>
      </c>
      <c r="AB93">
        <f>IF(AA93="",0,IF(COUNTIF($AA$1:AA93,AA93)=1,1,0))</f>
        <v>1</v>
      </c>
      <c r="AC93">
        <f>IF(AB93=1,COUNTIF($AB$1:AB93,1),"")</f>
        <v>14</v>
      </c>
    </row>
    <row r="94" spans="1:29" x14ac:dyDescent="0.25">
      <c r="A94" s="13" t="str">
        <f>IFERROR(INDEX($AA$1:$AA$387,MATCH(91,$AC$1:$AC$387,0)),"")</f>
        <v/>
      </c>
      <c r="B94" s="13" t="str">
        <f>IF($A94="","",IF(IFERROR(INDEX(Baarn!$F$43:$F$129,MATCH($A94,Baarn!$C$43:$C$129,0)),"")&lt;&gt;"",IFERROR(INDEX(Baarn!$F$43:$F$129,MATCH($A94,Baarn!$C$43:$C$129,0)),""),IF(IFERROR(INDEX(Scherpenzeel!$F$210:$F$309,MATCH($A94,Scherpenzeel!$C$210:$C$309,0)),"")&lt;&gt;"",IFERROR(INDEX(Scherpenzeel!$F$210:$F$309,MATCH($A94,Scherpenzeel!$C$210:$C$309,0)),""),IF(IFERROR(INDEX('4'!$F$210:$F$309,MATCH($A94,'4'!$C$210:$C$309,0)),"")&lt;&gt;"",IFERROR(INDEX('4'!$F$210:$F$309,MATCH($A94,'4'!$C$210:$C$309,0)),""),IFERROR(INDEX('5'!$F$210:$F$309,MATCH($A94,'5'!$C$210:$C$309,0)),"")))))</f>
        <v/>
      </c>
      <c r="C94" s="24" t="str">
        <f>""</f>
        <v/>
      </c>
      <c r="D94" s="15">
        <f>0</f>
        <v>0</v>
      </c>
      <c r="E94" s="24" t="str">
        <f>IF($A94="","",IFERROR(INDEX(Baarn!$A$43:$A$129,MATCH($A94,Baarn!$C$43:$C$129,0)),""))</f>
        <v/>
      </c>
      <c r="F94" s="15">
        <f>IF($A94="",0,IFERROR(INDEX(Baarn!$I$43:$I$129,MATCH($A94,Baarn!$C$43:$C$129,0)),0))</f>
        <v>0</v>
      </c>
      <c r="G94" s="24" t="str">
        <f>IF($A94="","",IFERROR(INDEX(Scherpenzeel!$A$210:$A$309,MATCH($A94,Scherpenzeel!$C$210:$C$309,0)),""))</f>
        <v/>
      </c>
      <c r="H94" s="15">
        <f>IF($A94="",0,IFERROR(INDEX(Scherpenzeel!$I$210:$I$309,MATCH($A94,Scherpenzeel!$C$210:$C$309,0)),0))</f>
        <v>0</v>
      </c>
      <c r="I94" s="24" t="str">
        <f>IF($A94="","",IFERROR(INDEX('4'!$A$210:$A$309,MATCH($A94,'4'!$C$210:$C$309,0)),""))</f>
        <v/>
      </c>
      <c r="J94" s="15">
        <f>IF($A94="",0,IFERROR(INDEX('4'!$I$210:$I$309,MATCH($A94,'4'!$C$210:$C$309,0)),0))</f>
        <v>0</v>
      </c>
      <c r="K94" s="24" t="str">
        <f>IF($A94="","",IFERROR(INDEX('5'!$A$210:$A$309,MATCH($A94,'5'!$C$210:$C$309,0)),""))</f>
        <v/>
      </c>
      <c r="L94" s="15">
        <f>IF($A94="",0,IFERROR(INDEX('5'!$I$210:$I$309,MATCH($A94,'5'!$C$210:$C$309,0)),0))</f>
        <v>0</v>
      </c>
      <c r="M94" s="25" t="str">
        <f>IF($A94="","",D94+F94+H94+J94+L94)</f>
        <v/>
      </c>
      <c r="N94" s="26" t="str">
        <f>IF(OR($A94="",M94="",M94=0),"",RANK(M94,$M$4:$M$203,0))</f>
        <v/>
      </c>
      <c r="AA94" t="str">
        <f>Scherpenzeel!C216</f>
        <v>Stijn van Twiller</v>
      </c>
      <c r="AB94">
        <f>IF(AA94="",0,IF(COUNTIF($AA$1:AA94,AA94)=1,1,0))</f>
        <v>0</v>
      </c>
      <c r="AC94" t="str">
        <f>IF(AB94=1,COUNTIF($AB$1:AB94,1),"")</f>
        <v/>
      </c>
    </row>
    <row r="95" spans="1:29" x14ac:dyDescent="0.25">
      <c r="A95" s="13" t="str">
        <f>IFERROR(INDEX($AA$1:$AA$387,MATCH(92,$AC$1:$AC$387,0)),"")</f>
        <v/>
      </c>
      <c r="B95" s="13" t="str">
        <f>IF($A95="","",IF(IFERROR(INDEX(Baarn!$F$43:$F$129,MATCH($A95,Baarn!$C$43:$C$129,0)),"")&lt;&gt;"",IFERROR(INDEX(Baarn!$F$43:$F$129,MATCH($A95,Baarn!$C$43:$C$129,0)),""),IF(IFERROR(INDEX(Scherpenzeel!$F$210:$F$309,MATCH($A95,Scherpenzeel!$C$210:$C$309,0)),"")&lt;&gt;"",IFERROR(INDEX(Scherpenzeel!$F$210:$F$309,MATCH($A95,Scherpenzeel!$C$210:$C$309,0)),""),IF(IFERROR(INDEX('4'!$F$210:$F$309,MATCH($A95,'4'!$C$210:$C$309,0)),"")&lt;&gt;"",IFERROR(INDEX('4'!$F$210:$F$309,MATCH($A95,'4'!$C$210:$C$309,0)),""),IFERROR(INDEX('5'!$F$210:$F$309,MATCH($A95,'5'!$C$210:$C$309,0)),"")))))</f>
        <v/>
      </c>
      <c r="C95" s="24" t="str">
        <f>""</f>
        <v/>
      </c>
      <c r="D95" s="15">
        <f>0</f>
        <v>0</v>
      </c>
      <c r="E95" s="24" t="str">
        <f>IF($A95="","",IFERROR(INDEX(Baarn!$A$43:$A$129,MATCH($A95,Baarn!$C$43:$C$129,0)),""))</f>
        <v/>
      </c>
      <c r="F95" s="15">
        <f>IF($A95="",0,IFERROR(INDEX(Baarn!$I$43:$I$129,MATCH($A95,Baarn!$C$43:$C$129,0)),0))</f>
        <v>0</v>
      </c>
      <c r="G95" s="24" t="str">
        <f>IF($A95="","",IFERROR(INDEX(Scherpenzeel!$A$210:$A$309,MATCH($A95,Scherpenzeel!$C$210:$C$309,0)),""))</f>
        <v/>
      </c>
      <c r="H95" s="15">
        <f>IF($A95="",0,IFERROR(INDEX(Scherpenzeel!$I$210:$I$309,MATCH($A95,Scherpenzeel!$C$210:$C$309,0)),0))</f>
        <v>0</v>
      </c>
      <c r="I95" s="24" t="str">
        <f>IF($A95="","",IFERROR(INDEX('4'!$A$210:$A$309,MATCH($A95,'4'!$C$210:$C$309,0)),""))</f>
        <v/>
      </c>
      <c r="J95" s="15">
        <f>IF($A95="",0,IFERROR(INDEX('4'!$I$210:$I$309,MATCH($A95,'4'!$C$210:$C$309,0)),0))</f>
        <v>0</v>
      </c>
      <c r="K95" s="24" t="str">
        <f>IF($A95="","",IFERROR(INDEX('5'!$A$210:$A$309,MATCH($A95,'5'!$C$210:$C$309,0)),""))</f>
        <v/>
      </c>
      <c r="L95" s="15">
        <f>IF($A95="",0,IFERROR(INDEX('5'!$I$210:$I$309,MATCH($A95,'5'!$C$210:$C$309,0)),0))</f>
        <v>0</v>
      </c>
      <c r="M95" s="25" t="str">
        <f>IF($A95="","",D95+F95+H95+J95+L95)</f>
        <v/>
      </c>
      <c r="N95" s="26" t="str">
        <f>IF(OR($A95="",M95="",M95=0),"",RANK(M95,$M$4:$M$203,0))</f>
        <v/>
      </c>
      <c r="AA95" t="str">
        <f>Scherpenzeel!C217</f>
        <v>Tim Hommersom</v>
      </c>
      <c r="AB95">
        <f>IF(AA95="",0,IF(COUNTIF($AA$1:AA95,AA95)=1,1,0))</f>
        <v>1</v>
      </c>
      <c r="AC95">
        <f>IF(AB95=1,COUNTIF($AB$1:AB95,1),"")</f>
        <v>15</v>
      </c>
    </row>
    <row r="96" spans="1:29" x14ac:dyDescent="0.25">
      <c r="A96" s="13" t="str">
        <f>IFERROR(INDEX($AA$1:$AA$387,MATCH(93,$AC$1:$AC$387,0)),"")</f>
        <v/>
      </c>
      <c r="B96" s="13" t="str">
        <f>IF($A96="","",IF(IFERROR(INDEX(Baarn!$F$43:$F$129,MATCH($A96,Baarn!$C$43:$C$129,0)),"")&lt;&gt;"",IFERROR(INDEX(Baarn!$F$43:$F$129,MATCH($A96,Baarn!$C$43:$C$129,0)),""),IF(IFERROR(INDEX(Scherpenzeel!$F$210:$F$309,MATCH($A96,Scherpenzeel!$C$210:$C$309,0)),"")&lt;&gt;"",IFERROR(INDEX(Scherpenzeel!$F$210:$F$309,MATCH($A96,Scherpenzeel!$C$210:$C$309,0)),""),IF(IFERROR(INDEX('4'!$F$210:$F$309,MATCH($A96,'4'!$C$210:$C$309,0)),"")&lt;&gt;"",IFERROR(INDEX('4'!$F$210:$F$309,MATCH($A96,'4'!$C$210:$C$309,0)),""),IFERROR(INDEX('5'!$F$210:$F$309,MATCH($A96,'5'!$C$210:$C$309,0)),"")))))</f>
        <v/>
      </c>
      <c r="C96" s="24" t="str">
        <f>""</f>
        <v/>
      </c>
      <c r="D96" s="15">
        <f>0</f>
        <v>0</v>
      </c>
      <c r="E96" s="24" t="str">
        <f>IF($A96="","",IFERROR(INDEX(Baarn!$A$43:$A$129,MATCH($A96,Baarn!$C$43:$C$129,0)),""))</f>
        <v/>
      </c>
      <c r="F96" s="15">
        <f>IF($A96="",0,IFERROR(INDEX(Baarn!$I$43:$I$129,MATCH($A96,Baarn!$C$43:$C$129,0)),0))</f>
        <v>0</v>
      </c>
      <c r="G96" s="24" t="str">
        <f>IF($A96="","",IFERROR(INDEX(Scherpenzeel!$A$210:$A$309,MATCH($A96,Scherpenzeel!$C$210:$C$309,0)),""))</f>
        <v/>
      </c>
      <c r="H96" s="15">
        <f>IF($A96="",0,IFERROR(INDEX(Scherpenzeel!$I$210:$I$309,MATCH($A96,Scherpenzeel!$C$210:$C$309,0)),0))</f>
        <v>0</v>
      </c>
      <c r="I96" s="24" t="str">
        <f>IF($A96="","",IFERROR(INDEX('4'!$A$210:$A$309,MATCH($A96,'4'!$C$210:$C$309,0)),""))</f>
        <v/>
      </c>
      <c r="J96" s="15">
        <f>IF($A96="",0,IFERROR(INDEX('4'!$I$210:$I$309,MATCH($A96,'4'!$C$210:$C$309,0)),0))</f>
        <v>0</v>
      </c>
      <c r="K96" s="24" t="str">
        <f>IF($A96="","",IFERROR(INDEX('5'!$A$210:$A$309,MATCH($A96,'5'!$C$210:$C$309,0)),""))</f>
        <v/>
      </c>
      <c r="L96" s="15">
        <f>IF($A96="",0,IFERROR(INDEX('5'!$I$210:$I$309,MATCH($A96,'5'!$C$210:$C$309,0)),0))</f>
        <v>0</v>
      </c>
      <c r="M96" s="25" t="str">
        <f>IF($A96="","",D96+F96+H96+J96+L96)</f>
        <v/>
      </c>
      <c r="N96" s="26" t="str">
        <f>IF(OR($A96="",M96="",M96=0),"",RANK(M96,$M$4:$M$203,0))</f>
        <v/>
      </c>
      <c r="AA96" t="str">
        <f>Scherpenzeel!C218</f>
        <v>Rens van Middelaar</v>
      </c>
      <c r="AB96">
        <f>IF(AA96="",0,IF(COUNTIF($AA$1:AA96,AA96)=1,1,0))</f>
        <v>0</v>
      </c>
      <c r="AC96" t="str">
        <f>IF(AB96=1,COUNTIF($AB$1:AB96,1),"")</f>
        <v/>
      </c>
    </row>
    <row r="97" spans="1:29" x14ac:dyDescent="0.25">
      <c r="A97" s="13" t="str">
        <f>IFERROR(INDEX($AA$1:$AA$387,MATCH(94,$AC$1:$AC$387,0)),"")</f>
        <v/>
      </c>
      <c r="B97" s="13" t="str">
        <f>IF($A97="","",IF(IFERROR(INDEX(Baarn!$F$43:$F$129,MATCH($A97,Baarn!$C$43:$C$129,0)),"")&lt;&gt;"",IFERROR(INDEX(Baarn!$F$43:$F$129,MATCH($A97,Baarn!$C$43:$C$129,0)),""),IF(IFERROR(INDEX(Scherpenzeel!$F$210:$F$309,MATCH($A97,Scherpenzeel!$C$210:$C$309,0)),"")&lt;&gt;"",IFERROR(INDEX(Scherpenzeel!$F$210:$F$309,MATCH($A97,Scherpenzeel!$C$210:$C$309,0)),""),IF(IFERROR(INDEX('4'!$F$210:$F$309,MATCH($A97,'4'!$C$210:$C$309,0)),"")&lt;&gt;"",IFERROR(INDEX('4'!$F$210:$F$309,MATCH($A97,'4'!$C$210:$C$309,0)),""),IFERROR(INDEX('5'!$F$210:$F$309,MATCH($A97,'5'!$C$210:$C$309,0)),"")))))</f>
        <v/>
      </c>
      <c r="C97" s="24" t="str">
        <f>""</f>
        <v/>
      </c>
      <c r="D97" s="15">
        <f>0</f>
        <v>0</v>
      </c>
      <c r="E97" s="24" t="str">
        <f>IF($A97="","",IFERROR(INDEX(Baarn!$A$43:$A$129,MATCH($A97,Baarn!$C$43:$C$129,0)),""))</f>
        <v/>
      </c>
      <c r="F97" s="15">
        <f>IF($A97="",0,IFERROR(INDEX(Baarn!$I$43:$I$129,MATCH($A97,Baarn!$C$43:$C$129,0)),0))</f>
        <v>0</v>
      </c>
      <c r="G97" s="24" t="str">
        <f>IF($A97="","",IFERROR(INDEX(Scherpenzeel!$A$210:$A$309,MATCH($A97,Scherpenzeel!$C$210:$C$309,0)),""))</f>
        <v/>
      </c>
      <c r="H97" s="15">
        <f>IF($A97="",0,IFERROR(INDEX(Scherpenzeel!$I$210:$I$309,MATCH($A97,Scherpenzeel!$C$210:$C$309,0)),0))</f>
        <v>0</v>
      </c>
      <c r="I97" s="24" t="str">
        <f>IF($A97="","",IFERROR(INDEX('4'!$A$210:$A$309,MATCH($A97,'4'!$C$210:$C$309,0)),""))</f>
        <v/>
      </c>
      <c r="J97" s="15">
        <f>IF($A97="",0,IFERROR(INDEX('4'!$I$210:$I$309,MATCH($A97,'4'!$C$210:$C$309,0)),0))</f>
        <v>0</v>
      </c>
      <c r="K97" s="24" t="str">
        <f>IF($A97="","",IFERROR(INDEX('5'!$A$210:$A$309,MATCH($A97,'5'!$C$210:$C$309,0)),""))</f>
        <v/>
      </c>
      <c r="L97" s="15">
        <f>IF($A97="",0,IFERROR(INDEX('5'!$I$210:$I$309,MATCH($A97,'5'!$C$210:$C$309,0)),0))</f>
        <v>0</v>
      </c>
      <c r="M97" s="25" t="str">
        <f>IF($A97="","",D97+F97+H97+J97+L97)</f>
        <v/>
      </c>
      <c r="N97" s="26" t="str">
        <f>IF(OR($A97="",M97="",M97=0),"",RANK(M97,$M$4:$M$203,0))</f>
        <v/>
      </c>
      <c r="AA97" t="str">
        <f>Scherpenzeel!C219</f>
        <v>Pim Molenaar</v>
      </c>
      <c r="AB97">
        <f>IF(AA97="",0,IF(COUNTIF($AA$1:AA97,AA97)=1,1,0))</f>
        <v>1</v>
      </c>
      <c r="AC97">
        <f>IF(AB97=1,COUNTIF($AB$1:AB97,1),"")</f>
        <v>16</v>
      </c>
    </row>
    <row r="98" spans="1:29" x14ac:dyDescent="0.25">
      <c r="A98" s="13" t="str">
        <f>IFERROR(INDEX($AA$1:$AA$387,MATCH(95,$AC$1:$AC$387,0)),"")</f>
        <v/>
      </c>
      <c r="B98" s="13" t="str">
        <f>IF($A98="","",IF(IFERROR(INDEX(Baarn!$F$43:$F$129,MATCH($A98,Baarn!$C$43:$C$129,0)),"")&lt;&gt;"",IFERROR(INDEX(Baarn!$F$43:$F$129,MATCH($A98,Baarn!$C$43:$C$129,0)),""),IF(IFERROR(INDEX(Scherpenzeel!$F$210:$F$309,MATCH($A98,Scherpenzeel!$C$210:$C$309,0)),"")&lt;&gt;"",IFERROR(INDEX(Scherpenzeel!$F$210:$F$309,MATCH($A98,Scherpenzeel!$C$210:$C$309,0)),""),IF(IFERROR(INDEX('4'!$F$210:$F$309,MATCH($A98,'4'!$C$210:$C$309,0)),"")&lt;&gt;"",IFERROR(INDEX('4'!$F$210:$F$309,MATCH($A98,'4'!$C$210:$C$309,0)),""),IFERROR(INDEX('5'!$F$210:$F$309,MATCH($A98,'5'!$C$210:$C$309,0)),"")))))</f>
        <v/>
      </c>
      <c r="C98" s="24" t="str">
        <f>""</f>
        <v/>
      </c>
      <c r="D98" s="15">
        <f>0</f>
        <v>0</v>
      </c>
      <c r="E98" s="24" t="str">
        <f>IF($A98="","",IFERROR(INDEX(Baarn!$A$43:$A$129,MATCH($A98,Baarn!$C$43:$C$129,0)),""))</f>
        <v/>
      </c>
      <c r="F98" s="15">
        <f>IF($A98="",0,IFERROR(INDEX(Baarn!$I$43:$I$129,MATCH($A98,Baarn!$C$43:$C$129,0)),0))</f>
        <v>0</v>
      </c>
      <c r="G98" s="24" t="str">
        <f>IF($A98="","",IFERROR(INDEX(Scherpenzeel!$A$210:$A$309,MATCH($A98,Scherpenzeel!$C$210:$C$309,0)),""))</f>
        <v/>
      </c>
      <c r="H98" s="15">
        <f>IF($A98="",0,IFERROR(INDEX(Scherpenzeel!$I$210:$I$309,MATCH($A98,Scherpenzeel!$C$210:$C$309,0)),0))</f>
        <v>0</v>
      </c>
      <c r="I98" s="24" t="str">
        <f>IF($A98="","",IFERROR(INDEX('4'!$A$210:$A$309,MATCH($A98,'4'!$C$210:$C$309,0)),""))</f>
        <v/>
      </c>
      <c r="J98" s="15">
        <f>IF($A98="",0,IFERROR(INDEX('4'!$I$210:$I$309,MATCH($A98,'4'!$C$210:$C$309,0)),0))</f>
        <v>0</v>
      </c>
      <c r="K98" s="24" t="str">
        <f>IF($A98="","",IFERROR(INDEX('5'!$A$210:$A$309,MATCH($A98,'5'!$C$210:$C$309,0)),""))</f>
        <v/>
      </c>
      <c r="L98" s="15">
        <f>IF($A98="",0,IFERROR(INDEX('5'!$I$210:$I$309,MATCH($A98,'5'!$C$210:$C$309,0)),0))</f>
        <v>0</v>
      </c>
      <c r="M98" s="25" t="str">
        <f>IF($A98="","",D98+F98+H98+J98+L98)</f>
        <v/>
      </c>
      <c r="N98" s="26" t="str">
        <f>IF(OR($A98="",M98="",M98=0),"",RANK(M98,$M$4:$M$203,0))</f>
        <v/>
      </c>
      <c r="AA98" t="str">
        <f>Scherpenzeel!C220</f>
        <v>Levi van der Kaa</v>
      </c>
      <c r="AB98">
        <f>IF(AA98="",0,IF(COUNTIF($AA$1:AA98,AA98)=1,1,0))</f>
        <v>1</v>
      </c>
      <c r="AC98">
        <f>IF(AB98=1,COUNTIF($AB$1:AB98,1),"")</f>
        <v>17</v>
      </c>
    </row>
    <row r="99" spans="1:29" x14ac:dyDescent="0.25">
      <c r="A99" s="13" t="str">
        <f>IFERROR(INDEX($AA$1:$AA$387,MATCH(96,$AC$1:$AC$387,0)),"")</f>
        <v/>
      </c>
      <c r="B99" s="13" t="str">
        <f>IF($A99="","",IF(IFERROR(INDEX(Baarn!$F$43:$F$129,MATCH($A99,Baarn!$C$43:$C$129,0)),"")&lt;&gt;"",IFERROR(INDEX(Baarn!$F$43:$F$129,MATCH($A99,Baarn!$C$43:$C$129,0)),""),IF(IFERROR(INDEX(Scherpenzeel!$F$210:$F$309,MATCH($A99,Scherpenzeel!$C$210:$C$309,0)),"")&lt;&gt;"",IFERROR(INDEX(Scherpenzeel!$F$210:$F$309,MATCH($A99,Scherpenzeel!$C$210:$C$309,0)),""),IF(IFERROR(INDEX('4'!$F$210:$F$309,MATCH($A99,'4'!$C$210:$C$309,0)),"")&lt;&gt;"",IFERROR(INDEX('4'!$F$210:$F$309,MATCH($A99,'4'!$C$210:$C$309,0)),""),IFERROR(INDEX('5'!$F$210:$F$309,MATCH($A99,'5'!$C$210:$C$309,0)),"")))))</f>
        <v/>
      </c>
      <c r="C99" s="24" t="str">
        <f>""</f>
        <v/>
      </c>
      <c r="D99" s="15">
        <f>0</f>
        <v>0</v>
      </c>
      <c r="E99" s="24" t="str">
        <f>IF($A99="","",IFERROR(INDEX(Baarn!$A$43:$A$129,MATCH($A99,Baarn!$C$43:$C$129,0)),""))</f>
        <v/>
      </c>
      <c r="F99" s="15">
        <f>IF($A99="",0,IFERROR(INDEX(Baarn!$I$43:$I$129,MATCH($A99,Baarn!$C$43:$C$129,0)),0))</f>
        <v>0</v>
      </c>
      <c r="G99" s="24" t="str">
        <f>IF($A99="","",IFERROR(INDEX(Scherpenzeel!$A$210:$A$309,MATCH($A99,Scherpenzeel!$C$210:$C$309,0)),""))</f>
        <v/>
      </c>
      <c r="H99" s="15">
        <f>IF($A99="",0,IFERROR(INDEX(Scherpenzeel!$I$210:$I$309,MATCH($A99,Scherpenzeel!$C$210:$C$309,0)),0))</f>
        <v>0</v>
      </c>
      <c r="I99" s="24" t="str">
        <f>IF($A99="","",IFERROR(INDEX('4'!$A$210:$A$309,MATCH($A99,'4'!$C$210:$C$309,0)),""))</f>
        <v/>
      </c>
      <c r="J99" s="15">
        <f>IF($A99="",0,IFERROR(INDEX('4'!$I$210:$I$309,MATCH($A99,'4'!$C$210:$C$309,0)),0))</f>
        <v>0</v>
      </c>
      <c r="K99" s="24" t="str">
        <f>IF($A99="","",IFERROR(INDEX('5'!$A$210:$A$309,MATCH($A99,'5'!$C$210:$C$309,0)),""))</f>
        <v/>
      </c>
      <c r="L99" s="15">
        <f>IF($A99="",0,IFERROR(INDEX('5'!$I$210:$I$309,MATCH($A99,'5'!$C$210:$C$309,0)),0))</f>
        <v>0</v>
      </c>
      <c r="M99" s="25" t="str">
        <f>IF($A99="","",D99+F99+H99+J99+L99)</f>
        <v/>
      </c>
      <c r="N99" s="26" t="str">
        <f>IF(OR($A99="",M99="",M99=0),"",RANK(M99,$M$4:$M$203,0))</f>
        <v/>
      </c>
      <c r="AA99" t="str">
        <f>Scherpenzeel!C221</f>
        <v>Floris Kuiper</v>
      </c>
      <c r="AB99">
        <f>IF(AA99="",0,IF(COUNTIF($AA$1:AA99,AA99)=1,1,0))</f>
        <v>1</v>
      </c>
      <c r="AC99">
        <f>IF(AB99=1,COUNTIF($AB$1:AB99,1),"")</f>
        <v>18</v>
      </c>
    </row>
    <row r="100" spans="1:29" x14ac:dyDescent="0.25">
      <c r="A100" s="13" t="str">
        <f>IFERROR(INDEX($AA$1:$AA$387,MATCH(97,$AC$1:$AC$387,0)),"")</f>
        <v/>
      </c>
      <c r="B100" s="13" t="str">
        <f>IF($A100="","",IF(IFERROR(INDEX(Baarn!$F$43:$F$129,MATCH($A100,Baarn!$C$43:$C$129,0)),"")&lt;&gt;"",IFERROR(INDEX(Baarn!$F$43:$F$129,MATCH($A100,Baarn!$C$43:$C$129,0)),""),IF(IFERROR(INDEX(Scherpenzeel!$F$210:$F$309,MATCH($A100,Scherpenzeel!$C$210:$C$309,0)),"")&lt;&gt;"",IFERROR(INDEX(Scherpenzeel!$F$210:$F$309,MATCH($A100,Scherpenzeel!$C$210:$C$309,0)),""),IF(IFERROR(INDEX('4'!$F$210:$F$309,MATCH($A100,'4'!$C$210:$C$309,0)),"")&lt;&gt;"",IFERROR(INDEX('4'!$F$210:$F$309,MATCH($A100,'4'!$C$210:$C$309,0)),""),IFERROR(INDEX('5'!$F$210:$F$309,MATCH($A100,'5'!$C$210:$C$309,0)),"")))))</f>
        <v/>
      </c>
      <c r="C100" s="24" t="str">
        <f>""</f>
        <v/>
      </c>
      <c r="D100" s="15">
        <f>0</f>
        <v>0</v>
      </c>
      <c r="E100" s="24" t="str">
        <f>IF($A100="","",IFERROR(INDEX(Baarn!$A$43:$A$129,MATCH($A100,Baarn!$C$43:$C$129,0)),""))</f>
        <v/>
      </c>
      <c r="F100" s="15">
        <f>IF($A100="",0,IFERROR(INDEX(Baarn!$I$43:$I$129,MATCH($A100,Baarn!$C$43:$C$129,0)),0))</f>
        <v>0</v>
      </c>
      <c r="G100" s="24" t="str">
        <f>IF($A100="","",IFERROR(INDEX(Scherpenzeel!$A$210:$A$309,MATCH($A100,Scherpenzeel!$C$210:$C$309,0)),""))</f>
        <v/>
      </c>
      <c r="H100" s="15">
        <f>IF($A100="",0,IFERROR(INDEX(Scherpenzeel!$I$210:$I$309,MATCH($A100,Scherpenzeel!$C$210:$C$309,0)),0))</f>
        <v>0</v>
      </c>
      <c r="I100" s="24" t="str">
        <f>IF($A100="","",IFERROR(INDEX('4'!$A$210:$A$309,MATCH($A100,'4'!$C$210:$C$309,0)),""))</f>
        <v/>
      </c>
      <c r="J100" s="15">
        <f>IF($A100="",0,IFERROR(INDEX('4'!$I$210:$I$309,MATCH($A100,'4'!$C$210:$C$309,0)),0))</f>
        <v>0</v>
      </c>
      <c r="K100" s="24" t="str">
        <f>IF($A100="","",IFERROR(INDEX('5'!$A$210:$A$309,MATCH($A100,'5'!$C$210:$C$309,0)),""))</f>
        <v/>
      </c>
      <c r="L100" s="15">
        <f>IF($A100="",0,IFERROR(INDEX('5'!$I$210:$I$309,MATCH($A100,'5'!$C$210:$C$309,0)),0))</f>
        <v>0</v>
      </c>
      <c r="M100" s="25" t="str">
        <f>IF($A100="","",D100+F100+H100+J100+L100)</f>
        <v/>
      </c>
      <c r="N100" s="26" t="str">
        <f>IF(OR($A100="",M100="",M100=0),"",RANK(M100,$M$4:$M$203,0))</f>
        <v/>
      </c>
      <c r="AA100" t="str">
        <f>Scherpenzeel!C222</f>
        <v>Jochem ter Weel</v>
      </c>
      <c r="AB100">
        <f>IF(AA100="",0,IF(COUNTIF($AA$1:AA100,AA100)=1,1,0))</f>
        <v>1</v>
      </c>
      <c r="AC100">
        <f>IF(AB100=1,COUNTIF($AB$1:AB100,1),"")</f>
        <v>19</v>
      </c>
    </row>
    <row r="101" spans="1:29" x14ac:dyDescent="0.25">
      <c r="A101" s="13" t="str">
        <f>IFERROR(INDEX($AA$1:$AA$387,MATCH(98,$AC$1:$AC$387,0)),"")</f>
        <v/>
      </c>
      <c r="B101" s="13" t="str">
        <f>IF($A101="","",IF(IFERROR(INDEX(Baarn!$F$43:$F$129,MATCH($A101,Baarn!$C$43:$C$129,0)),"")&lt;&gt;"",IFERROR(INDEX(Baarn!$F$43:$F$129,MATCH($A101,Baarn!$C$43:$C$129,0)),""),IF(IFERROR(INDEX(Scherpenzeel!$F$210:$F$309,MATCH($A101,Scherpenzeel!$C$210:$C$309,0)),"")&lt;&gt;"",IFERROR(INDEX(Scherpenzeel!$F$210:$F$309,MATCH($A101,Scherpenzeel!$C$210:$C$309,0)),""),IF(IFERROR(INDEX('4'!$F$210:$F$309,MATCH($A101,'4'!$C$210:$C$309,0)),"")&lt;&gt;"",IFERROR(INDEX('4'!$F$210:$F$309,MATCH($A101,'4'!$C$210:$C$309,0)),""),IFERROR(INDEX('5'!$F$210:$F$309,MATCH($A101,'5'!$C$210:$C$309,0)),"")))))</f>
        <v/>
      </c>
      <c r="C101" s="24" t="str">
        <f>""</f>
        <v/>
      </c>
      <c r="D101" s="15">
        <f>0</f>
        <v>0</v>
      </c>
      <c r="E101" s="24" t="str">
        <f>IF($A101="","",IFERROR(INDEX(Baarn!$A$43:$A$129,MATCH($A101,Baarn!$C$43:$C$129,0)),""))</f>
        <v/>
      </c>
      <c r="F101" s="15">
        <f>IF($A101="",0,IFERROR(INDEX(Baarn!$I$43:$I$129,MATCH($A101,Baarn!$C$43:$C$129,0)),0))</f>
        <v>0</v>
      </c>
      <c r="G101" s="24" t="str">
        <f>IF($A101="","",IFERROR(INDEX(Scherpenzeel!$A$210:$A$309,MATCH($A101,Scherpenzeel!$C$210:$C$309,0)),""))</f>
        <v/>
      </c>
      <c r="H101" s="15">
        <f>IF($A101="",0,IFERROR(INDEX(Scherpenzeel!$I$210:$I$309,MATCH($A101,Scherpenzeel!$C$210:$C$309,0)),0))</f>
        <v>0</v>
      </c>
      <c r="I101" s="24" t="str">
        <f>IF($A101="","",IFERROR(INDEX('4'!$A$210:$A$309,MATCH($A101,'4'!$C$210:$C$309,0)),""))</f>
        <v/>
      </c>
      <c r="J101" s="15">
        <f>IF($A101="",0,IFERROR(INDEX('4'!$I$210:$I$309,MATCH($A101,'4'!$C$210:$C$309,0)),0))</f>
        <v>0</v>
      </c>
      <c r="K101" s="24" t="str">
        <f>IF($A101="","",IFERROR(INDEX('5'!$A$210:$A$309,MATCH($A101,'5'!$C$210:$C$309,0)),""))</f>
        <v/>
      </c>
      <c r="L101" s="15">
        <f>IF($A101="",0,IFERROR(INDEX('5'!$I$210:$I$309,MATCH($A101,'5'!$C$210:$C$309,0)),0))</f>
        <v>0</v>
      </c>
      <c r="M101" s="25" t="str">
        <f>IF($A101="","",D101+F101+H101+J101+L101)</f>
        <v/>
      </c>
      <c r="N101" s="26" t="str">
        <f>IF(OR($A101="",M101="",M101=0),"",RANK(M101,$M$4:$M$203,0))</f>
        <v/>
      </c>
      <c r="AA101" t="str">
        <f>Scherpenzeel!C223</f>
        <v>Benjamin van der Sar</v>
      </c>
      <c r="AB101">
        <f>IF(AA101="",0,IF(COUNTIF($AA$1:AA101,AA101)=1,1,0))</f>
        <v>0</v>
      </c>
      <c r="AC101" t="str">
        <f>IF(AB101=1,COUNTIF($AB$1:AB101,1),"")</f>
        <v/>
      </c>
    </row>
    <row r="102" spans="1:29" x14ac:dyDescent="0.25">
      <c r="A102" s="13" t="str">
        <f>IFERROR(INDEX($AA$1:$AA$387,MATCH(99,$AC$1:$AC$387,0)),"")</f>
        <v/>
      </c>
      <c r="B102" s="13" t="str">
        <f>IF($A102="","",IF(IFERROR(INDEX(Baarn!$F$43:$F$129,MATCH($A102,Baarn!$C$43:$C$129,0)),"")&lt;&gt;"",IFERROR(INDEX(Baarn!$F$43:$F$129,MATCH($A102,Baarn!$C$43:$C$129,0)),""),IF(IFERROR(INDEX(Scherpenzeel!$F$210:$F$309,MATCH($A102,Scherpenzeel!$C$210:$C$309,0)),"")&lt;&gt;"",IFERROR(INDEX(Scherpenzeel!$F$210:$F$309,MATCH($A102,Scherpenzeel!$C$210:$C$309,0)),""),IF(IFERROR(INDEX('4'!$F$210:$F$309,MATCH($A102,'4'!$C$210:$C$309,0)),"")&lt;&gt;"",IFERROR(INDEX('4'!$F$210:$F$309,MATCH($A102,'4'!$C$210:$C$309,0)),""),IFERROR(INDEX('5'!$F$210:$F$309,MATCH($A102,'5'!$C$210:$C$309,0)),"")))))</f>
        <v/>
      </c>
      <c r="C102" s="24" t="str">
        <f>""</f>
        <v/>
      </c>
      <c r="D102" s="15">
        <f>0</f>
        <v>0</v>
      </c>
      <c r="E102" s="24" t="str">
        <f>IF($A102="","",IFERROR(INDEX(Baarn!$A$43:$A$129,MATCH($A102,Baarn!$C$43:$C$129,0)),""))</f>
        <v/>
      </c>
      <c r="F102" s="15">
        <f>IF($A102="",0,IFERROR(INDEX(Baarn!$I$43:$I$129,MATCH($A102,Baarn!$C$43:$C$129,0)),0))</f>
        <v>0</v>
      </c>
      <c r="G102" s="24" t="str">
        <f>IF($A102="","",IFERROR(INDEX(Scherpenzeel!$A$210:$A$309,MATCH($A102,Scherpenzeel!$C$210:$C$309,0)),""))</f>
        <v/>
      </c>
      <c r="H102" s="15">
        <f>IF($A102="",0,IFERROR(INDEX(Scherpenzeel!$I$210:$I$309,MATCH($A102,Scherpenzeel!$C$210:$C$309,0)),0))</f>
        <v>0</v>
      </c>
      <c r="I102" s="24" t="str">
        <f>IF($A102="","",IFERROR(INDEX('4'!$A$210:$A$309,MATCH($A102,'4'!$C$210:$C$309,0)),""))</f>
        <v/>
      </c>
      <c r="J102" s="15">
        <f>IF($A102="",0,IFERROR(INDEX('4'!$I$210:$I$309,MATCH($A102,'4'!$C$210:$C$309,0)),0))</f>
        <v>0</v>
      </c>
      <c r="K102" s="24" t="str">
        <f>IF($A102="","",IFERROR(INDEX('5'!$A$210:$A$309,MATCH($A102,'5'!$C$210:$C$309,0)),""))</f>
        <v/>
      </c>
      <c r="L102" s="15">
        <f>IF($A102="",0,IFERROR(INDEX('5'!$I$210:$I$309,MATCH($A102,'5'!$C$210:$C$309,0)),0))</f>
        <v>0</v>
      </c>
      <c r="M102" s="25" t="str">
        <f>IF($A102="","",D102+F102+H102+J102+L102)</f>
        <v/>
      </c>
      <c r="N102" s="26" t="str">
        <f>IF(OR($A102="",M102="",M102=0),"",RANK(M102,$M$4:$M$203,0))</f>
        <v/>
      </c>
      <c r="AA102" t="str">
        <f>Scherpenzeel!C224</f>
        <v>Federico Talen</v>
      </c>
      <c r="AB102">
        <f>IF(AA102="",0,IF(COUNTIF($AA$1:AA102,AA102)=1,1,0))</f>
        <v>1</v>
      </c>
      <c r="AC102">
        <f>IF(AB102=1,COUNTIF($AB$1:AB102,1),"")</f>
        <v>20</v>
      </c>
    </row>
    <row r="103" spans="1:29" x14ac:dyDescent="0.25">
      <c r="A103" s="13" t="str">
        <f>IFERROR(INDEX($AA$1:$AA$387,MATCH(100,$AC$1:$AC$387,0)),"")</f>
        <v/>
      </c>
      <c r="B103" s="13" t="str">
        <f>IF($A103="","",IF(IFERROR(INDEX(Baarn!$F$43:$F$129,MATCH($A103,Baarn!$C$43:$C$129,0)),"")&lt;&gt;"",IFERROR(INDEX(Baarn!$F$43:$F$129,MATCH($A103,Baarn!$C$43:$C$129,0)),""),IF(IFERROR(INDEX(Scherpenzeel!$F$210:$F$309,MATCH($A103,Scherpenzeel!$C$210:$C$309,0)),"")&lt;&gt;"",IFERROR(INDEX(Scherpenzeel!$F$210:$F$309,MATCH($A103,Scherpenzeel!$C$210:$C$309,0)),""),IF(IFERROR(INDEX('4'!$F$210:$F$309,MATCH($A103,'4'!$C$210:$C$309,0)),"")&lt;&gt;"",IFERROR(INDEX('4'!$F$210:$F$309,MATCH($A103,'4'!$C$210:$C$309,0)),""),IFERROR(INDEX('5'!$F$210:$F$309,MATCH($A103,'5'!$C$210:$C$309,0)),"")))))</f>
        <v/>
      </c>
      <c r="C103" s="24" t="str">
        <f>""</f>
        <v/>
      </c>
      <c r="D103" s="15">
        <f>0</f>
        <v>0</v>
      </c>
      <c r="E103" s="24" t="str">
        <f>IF($A103="","",IFERROR(INDEX(Baarn!$A$43:$A$129,MATCH($A103,Baarn!$C$43:$C$129,0)),""))</f>
        <v/>
      </c>
      <c r="F103" s="15">
        <f>IF($A103="",0,IFERROR(INDEX(Baarn!$I$43:$I$129,MATCH($A103,Baarn!$C$43:$C$129,0)),0))</f>
        <v>0</v>
      </c>
      <c r="G103" s="24" t="str">
        <f>IF($A103="","",IFERROR(INDEX(Scherpenzeel!$A$210:$A$309,MATCH($A103,Scherpenzeel!$C$210:$C$309,0)),""))</f>
        <v/>
      </c>
      <c r="H103" s="15">
        <f>IF($A103="",0,IFERROR(INDEX(Scherpenzeel!$I$210:$I$309,MATCH($A103,Scherpenzeel!$C$210:$C$309,0)),0))</f>
        <v>0</v>
      </c>
      <c r="I103" s="24" t="str">
        <f>IF($A103="","",IFERROR(INDEX('4'!$A$210:$A$309,MATCH($A103,'4'!$C$210:$C$309,0)),""))</f>
        <v/>
      </c>
      <c r="J103" s="15">
        <f>IF($A103="",0,IFERROR(INDEX('4'!$I$210:$I$309,MATCH($A103,'4'!$C$210:$C$309,0)),0))</f>
        <v>0</v>
      </c>
      <c r="K103" s="24" t="str">
        <f>IF($A103="","",IFERROR(INDEX('5'!$A$210:$A$309,MATCH($A103,'5'!$C$210:$C$309,0)),""))</f>
        <v/>
      </c>
      <c r="L103" s="15">
        <f>IF($A103="",0,IFERROR(INDEX('5'!$I$210:$I$309,MATCH($A103,'5'!$C$210:$C$309,0)),0))</f>
        <v>0</v>
      </c>
      <c r="M103" s="25" t="str">
        <f>IF($A103="","",D103+F103+H103+J103+L103)</f>
        <v/>
      </c>
      <c r="N103" s="26" t="str">
        <f>IF(OR($A103="",M103="",M103=0),"",RANK(M103,$M$4:$M$203,0))</f>
        <v/>
      </c>
      <c r="AA103" t="str">
        <f>Scherpenzeel!C225</f>
        <v>Cas de Vreede</v>
      </c>
      <c r="AB103">
        <f>IF(AA103="",0,IF(COUNTIF($AA$1:AA103,AA103)=1,1,0))</f>
        <v>1</v>
      </c>
      <c r="AC103">
        <f>IF(AB103=1,COUNTIF($AB$1:AB103,1),"")</f>
        <v>21</v>
      </c>
    </row>
    <row r="104" spans="1:29" x14ac:dyDescent="0.25">
      <c r="A104" s="13" t="str">
        <f>IFERROR(INDEX($AA$1:$AA$387,MATCH(101,$AC$1:$AC$387,0)),"")</f>
        <v/>
      </c>
      <c r="B104" s="13" t="str">
        <f>IF($A104="","",IF(IFERROR(INDEX(Baarn!$F$43:$F$129,MATCH($A104,Baarn!$C$43:$C$129,0)),"")&lt;&gt;"",IFERROR(INDEX(Baarn!$F$43:$F$129,MATCH($A104,Baarn!$C$43:$C$129,0)),""),IF(IFERROR(INDEX(Scherpenzeel!$F$210:$F$309,MATCH($A104,Scherpenzeel!$C$210:$C$309,0)),"")&lt;&gt;"",IFERROR(INDEX(Scherpenzeel!$F$210:$F$309,MATCH($A104,Scherpenzeel!$C$210:$C$309,0)),""),IF(IFERROR(INDEX('4'!$F$210:$F$309,MATCH($A104,'4'!$C$210:$C$309,0)),"")&lt;&gt;"",IFERROR(INDEX('4'!$F$210:$F$309,MATCH($A104,'4'!$C$210:$C$309,0)),""),IFERROR(INDEX('5'!$F$210:$F$309,MATCH($A104,'5'!$C$210:$C$309,0)),"")))))</f>
        <v/>
      </c>
      <c r="C104" s="24" t="str">
        <f>""</f>
        <v/>
      </c>
      <c r="D104" s="15">
        <f>0</f>
        <v>0</v>
      </c>
      <c r="E104" s="24" t="str">
        <f>IF($A104="","",IFERROR(INDEX(Baarn!$A$43:$A$129,MATCH($A104,Baarn!$C$43:$C$129,0)),""))</f>
        <v/>
      </c>
      <c r="F104" s="15">
        <f>IF($A104="",0,IFERROR(INDEX(Baarn!$I$43:$I$129,MATCH($A104,Baarn!$C$43:$C$129,0)),0))</f>
        <v>0</v>
      </c>
      <c r="G104" s="24" t="str">
        <f>IF($A104="","",IFERROR(INDEX(Scherpenzeel!$A$210:$A$309,MATCH($A104,Scherpenzeel!$C$210:$C$309,0)),""))</f>
        <v/>
      </c>
      <c r="H104" s="15">
        <f>IF($A104="",0,IFERROR(INDEX(Scherpenzeel!$I$210:$I$309,MATCH($A104,Scherpenzeel!$C$210:$C$309,0)),0))</f>
        <v>0</v>
      </c>
      <c r="I104" s="24" t="str">
        <f>IF($A104="","",IFERROR(INDEX('4'!$A$210:$A$309,MATCH($A104,'4'!$C$210:$C$309,0)),""))</f>
        <v/>
      </c>
      <c r="J104" s="15">
        <f>IF($A104="",0,IFERROR(INDEX('4'!$I$210:$I$309,MATCH($A104,'4'!$C$210:$C$309,0)),0))</f>
        <v>0</v>
      </c>
      <c r="K104" s="24" t="str">
        <f>IF($A104="","",IFERROR(INDEX('5'!$A$210:$A$309,MATCH($A104,'5'!$C$210:$C$309,0)),""))</f>
        <v/>
      </c>
      <c r="L104" s="15">
        <f>IF($A104="",0,IFERROR(INDEX('5'!$I$210:$I$309,MATCH($A104,'5'!$C$210:$C$309,0)),0))</f>
        <v>0</v>
      </c>
      <c r="M104" s="25" t="str">
        <f>IF($A104="","",D104+F104+H104+J104+L104)</f>
        <v/>
      </c>
      <c r="N104" s="26" t="str">
        <f>IF(OR($A104="",M104="",M104=0),"",RANK(M104,$M$4:$M$203,0))</f>
        <v/>
      </c>
      <c r="AA104" t="str">
        <f>Scherpenzeel!C226</f>
        <v>Ilya Fontaine</v>
      </c>
      <c r="AB104">
        <f>IF(AA104="",0,IF(COUNTIF($AA$1:AA104,AA104)=1,1,0))</f>
        <v>1</v>
      </c>
      <c r="AC104">
        <f>IF(AB104=1,COUNTIF($AB$1:AB104,1),"")</f>
        <v>22</v>
      </c>
    </row>
    <row r="105" spans="1:29" x14ac:dyDescent="0.25">
      <c r="A105" s="13" t="str">
        <f>IFERROR(INDEX($AA$1:$AA$387,MATCH(102,$AC$1:$AC$387,0)),"")</f>
        <v/>
      </c>
      <c r="B105" s="13" t="str">
        <f>IF($A105="","",IF(IFERROR(INDEX(Baarn!$F$43:$F$129,MATCH($A105,Baarn!$C$43:$C$129,0)),"")&lt;&gt;"",IFERROR(INDEX(Baarn!$F$43:$F$129,MATCH($A105,Baarn!$C$43:$C$129,0)),""),IF(IFERROR(INDEX(Scherpenzeel!$F$210:$F$309,MATCH($A105,Scherpenzeel!$C$210:$C$309,0)),"")&lt;&gt;"",IFERROR(INDEX(Scherpenzeel!$F$210:$F$309,MATCH($A105,Scherpenzeel!$C$210:$C$309,0)),""),IF(IFERROR(INDEX('4'!$F$210:$F$309,MATCH($A105,'4'!$C$210:$C$309,0)),"")&lt;&gt;"",IFERROR(INDEX('4'!$F$210:$F$309,MATCH($A105,'4'!$C$210:$C$309,0)),""),IFERROR(INDEX('5'!$F$210:$F$309,MATCH($A105,'5'!$C$210:$C$309,0)),"")))))</f>
        <v/>
      </c>
      <c r="C105" s="24" t="str">
        <f>""</f>
        <v/>
      </c>
      <c r="D105" s="15">
        <f>0</f>
        <v>0</v>
      </c>
      <c r="E105" s="24" t="str">
        <f>IF($A105="","",IFERROR(INDEX(Baarn!$A$43:$A$129,MATCH($A105,Baarn!$C$43:$C$129,0)),""))</f>
        <v/>
      </c>
      <c r="F105" s="15">
        <f>IF($A105="",0,IFERROR(INDEX(Baarn!$I$43:$I$129,MATCH($A105,Baarn!$C$43:$C$129,0)),0))</f>
        <v>0</v>
      </c>
      <c r="G105" s="24" t="str">
        <f>IF($A105="","",IFERROR(INDEX(Scherpenzeel!$A$210:$A$309,MATCH($A105,Scherpenzeel!$C$210:$C$309,0)),""))</f>
        <v/>
      </c>
      <c r="H105" s="15">
        <f>IF($A105="",0,IFERROR(INDEX(Scherpenzeel!$I$210:$I$309,MATCH($A105,Scherpenzeel!$C$210:$C$309,0)),0))</f>
        <v>0</v>
      </c>
      <c r="I105" s="24" t="str">
        <f>IF($A105="","",IFERROR(INDEX('4'!$A$210:$A$309,MATCH($A105,'4'!$C$210:$C$309,0)),""))</f>
        <v/>
      </c>
      <c r="J105" s="15">
        <f>IF($A105="",0,IFERROR(INDEX('4'!$I$210:$I$309,MATCH($A105,'4'!$C$210:$C$309,0)),0))</f>
        <v>0</v>
      </c>
      <c r="K105" s="24" t="str">
        <f>IF($A105="","",IFERROR(INDEX('5'!$A$210:$A$309,MATCH($A105,'5'!$C$210:$C$309,0)),""))</f>
        <v/>
      </c>
      <c r="L105" s="15">
        <f>IF($A105="",0,IFERROR(INDEX('5'!$I$210:$I$309,MATCH($A105,'5'!$C$210:$C$309,0)),0))</f>
        <v>0</v>
      </c>
      <c r="M105" s="25" t="str">
        <f>IF($A105="","",D105+F105+H105+J105+L105)</f>
        <v/>
      </c>
      <c r="N105" s="26" t="str">
        <f>IF(OR($A105="",M105="",M105=0),"",RANK(M105,$M$4:$M$203,0))</f>
        <v/>
      </c>
      <c r="AA105">
        <f>Scherpenzeel!C227</f>
        <v>0</v>
      </c>
      <c r="AB105">
        <f>IF(AA105="",0,IF(COUNTIF($AA$1:AA105,AA105)=1,1,0))</f>
        <v>0</v>
      </c>
      <c r="AC105" t="str">
        <f>IF(AB105=1,COUNTIF($AB$1:AB105,1),"")</f>
        <v/>
      </c>
    </row>
    <row r="106" spans="1:29" x14ac:dyDescent="0.25">
      <c r="A106" s="13" t="str">
        <f>IFERROR(INDEX($AA$1:$AA$387,MATCH(103,$AC$1:$AC$387,0)),"")</f>
        <v/>
      </c>
      <c r="B106" s="13" t="str">
        <f>IF($A106="","",IF(IFERROR(INDEX(Baarn!$F$43:$F$129,MATCH($A106,Baarn!$C$43:$C$129,0)),"")&lt;&gt;"",IFERROR(INDEX(Baarn!$F$43:$F$129,MATCH($A106,Baarn!$C$43:$C$129,0)),""),IF(IFERROR(INDEX(Scherpenzeel!$F$210:$F$309,MATCH($A106,Scherpenzeel!$C$210:$C$309,0)),"")&lt;&gt;"",IFERROR(INDEX(Scherpenzeel!$F$210:$F$309,MATCH($A106,Scherpenzeel!$C$210:$C$309,0)),""),IF(IFERROR(INDEX('4'!$F$210:$F$309,MATCH($A106,'4'!$C$210:$C$309,0)),"")&lt;&gt;"",IFERROR(INDEX('4'!$F$210:$F$309,MATCH($A106,'4'!$C$210:$C$309,0)),""),IFERROR(INDEX('5'!$F$210:$F$309,MATCH($A106,'5'!$C$210:$C$309,0)),"")))))</f>
        <v/>
      </c>
      <c r="C106" s="24" t="str">
        <f>""</f>
        <v/>
      </c>
      <c r="D106" s="15">
        <f>0</f>
        <v>0</v>
      </c>
      <c r="E106" s="24" t="str">
        <f>IF($A106="","",IFERROR(INDEX(Baarn!$A$43:$A$129,MATCH($A106,Baarn!$C$43:$C$129,0)),""))</f>
        <v/>
      </c>
      <c r="F106" s="15">
        <f>IF($A106="",0,IFERROR(INDEX(Baarn!$I$43:$I$129,MATCH($A106,Baarn!$C$43:$C$129,0)),0))</f>
        <v>0</v>
      </c>
      <c r="G106" s="24" t="str">
        <f>IF($A106="","",IFERROR(INDEX(Scherpenzeel!$A$210:$A$309,MATCH($A106,Scherpenzeel!$C$210:$C$309,0)),""))</f>
        <v/>
      </c>
      <c r="H106" s="15">
        <f>IF($A106="",0,IFERROR(INDEX(Scherpenzeel!$I$210:$I$309,MATCH($A106,Scherpenzeel!$C$210:$C$309,0)),0))</f>
        <v>0</v>
      </c>
      <c r="I106" s="24" t="str">
        <f>IF($A106="","",IFERROR(INDEX('4'!$A$210:$A$309,MATCH($A106,'4'!$C$210:$C$309,0)),""))</f>
        <v/>
      </c>
      <c r="J106" s="15">
        <f>IF($A106="",0,IFERROR(INDEX('4'!$I$210:$I$309,MATCH($A106,'4'!$C$210:$C$309,0)),0))</f>
        <v>0</v>
      </c>
      <c r="K106" s="24" t="str">
        <f>IF($A106="","",IFERROR(INDEX('5'!$A$210:$A$309,MATCH($A106,'5'!$C$210:$C$309,0)),""))</f>
        <v/>
      </c>
      <c r="L106" s="15">
        <f>IF($A106="",0,IFERROR(INDEX('5'!$I$210:$I$309,MATCH($A106,'5'!$C$210:$C$309,0)),0))</f>
        <v>0</v>
      </c>
      <c r="M106" s="25" t="str">
        <f>IF($A106="","",D106+F106+H106+J106+L106)</f>
        <v/>
      </c>
      <c r="N106" s="26" t="str">
        <f>IF(OR($A106="",M106="",M106=0),"",RANK(M106,$M$4:$M$203,0))</f>
        <v/>
      </c>
      <c r="AA106">
        <f>Scherpenzeel!C228</f>
        <v>0</v>
      </c>
      <c r="AB106">
        <f>IF(AA106="",0,IF(COUNTIF($AA$1:AA106,AA106)=1,1,0))</f>
        <v>0</v>
      </c>
      <c r="AC106" t="str">
        <f>IF(AB106=1,COUNTIF($AB$1:AB106,1),"")</f>
        <v/>
      </c>
    </row>
    <row r="107" spans="1:29" x14ac:dyDescent="0.25">
      <c r="A107" s="13" t="str">
        <f>IFERROR(INDEX($AA$1:$AA$387,MATCH(104,$AC$1:$AC$387,0)),"")</f>
        <v/>
      </c>
      <c r="B107" s="13" t="str">
        <f>IF($A107="","",IF(IFERROR(INDEX(Baarn!$F$43:$F$129,MATCH($A107,Baarn!$C$43:$C$129,0)),"")&lt;&gt;"",IFERROR(INDEX(Baarn!$F$43:$F$129,MATCH($A107,Baarn!$C$43:$C$129,0)),""),IF(IFERROR(INDEX(Scherpenzeel!$F$210:$F$309,MATCH($A107,Scherpenzeel!$C$210:$C$309,0)),"")&lt;&gt;"",IFERROR(INDEX(Scherpenzeel!$F$210:$F$309,MATCH($A107,Scherpenzeel!$C$210:$C$309,0)),""),IF(IFERROR(INDEX('4'!$F$210:$F$309,MATCH($A107,'4'!$C$210:$C$309,0)),"")&lt;&gt;"",IFERROR(INDEX('4'!$F$210:$F$309,MATCH($A107,'4'!$C$210:$C$309,0)),""),IFERROR(INDEX('5'!$F$210:$F$309,MATCH($A107,'5'!$C$210:$C$309,0)),"")))))</f>
        <v/>
      </c>
      <c r="C107" s="24" t="str">
        <f>""</f>
        <v/>
      </c>
      <c r="D107" s="15">
        <f>0</f>
        <v>0</v>
      </c>
      <c r="E107" s="24" t="str">
        <f>IF($A107="","",IFERROR(INDEX(Baarn!$A$43:$A$129,MATCH($A107,Baarn!$C$43:$C$129,0)),""))</f>
        <v/>
      </c>
      <c r="F107" s="15">
        <f>IF($A107="",0,IFERROR(INDEX(Baarn!$I$43:$I$129,MATCH($A107,Baarn!$C$43:$C$129,0)),0))</f>
        <v>0</v>
      </c>
      <c r="G107" s="24" t="str">
        <f>IF($A107="","",IFERROR(INDEX(Scherpenzeel!$A$210:$A$309,MATCH($A107,Scherpenzeel!$C$210:$C$309,0)),""))</f>
        <v/>
      </c>
      <c r="H107" s="15">
        <f>IF($A107="",0,IFERROR(INDEX(Scherpenzeel!$I$210:$I$309,MATCH($A107,Scherpenzeel!$C$210:$C$309,0)),0))</f>
        <v>0</v>
      </c>
      <c r="I107" s="24" t="str">
        <f>IF($A107="","",IFERROR(INDEX('4'!$A$210:$A$309,MATCH($A107,'4'!$C$210:$C$309,0)),""))</f>
        <v/>
      </c>
      <c r="J107" s="15">
        <f>IF($A107="",0,IFERROR(INDEX('4'!$I$210:$I$309,MATCH($A107,'4'!$C$210:$C$309,0)),0))</f>
        <v>0</v>
      </c>
      <c r="K107" s="24" t="str">
        <f>IF($A107="","",IFERROR(INDEX('5'!$A$210:$A$309,MATCH($A107,'5'!$C$210:$C$309,0)),""))</f>
        <v/>
      </c>
      <c r="L107" s="15">
        <f>IF($A107="",0,IFERROR(INDEX('5'!$I$210:$I$309,MATCH($A107,'5'!$C$210:$C$309,0)),0))</f>
        <v>0</v>
      </c>
      <c r="M107" s="25" t="str">
        <f>IF($A107="","",D107+F107+H107+J107+L107)</f>
        <v/>
      </c>
      <c r="N107" s="26" t="str">
        <f>IF(OR($A107="",M107="",M107=0),"",RANK(M107,$M$4:$M$203,0))</f>
        <v/>
      </c>
      <c r="AA107">
        <f>Scherpenzeel!C229</f>
        <v>0</v>
      </c>
      <c r="AB107">
        <f>IF(AA107="",0,IF(COUNTIF($AA$1:AA107,AA107)=1,1,0))</f>
        <v>0</v>
      </c>
      <c r="AC107" t="str">
        <f>IF(AB107=1,COUNTIF($AB$1:AB107,1),"")</f>
        <v/>
      </c>
    </row>
    <row r="108" spans="1:29" x14ac:dyDescent="0.25">
      <c r="A108" s="13" t="str">
        <f>IFERROR(INDEX($AA$1:$AA$387,MATCH(105,$AC$1:$AC$387,0)),"")</f>
        <v/>
      </c>
      <c r="B108" s="13" t="str">
        <f>IF($A108="","",IF(IFERROR(INDEX(Baarn!$F$43:$F$129,MATCH($A108,Baarn!$C$43:$C$129,0)),"")&lt;&gt;"",IFERROR(INDEX(Baarn!$F$43:$F$129,MATCH($A108,Baarn!$C$43:$C$129,0)),""),IF(IFERROR(INDEX(Scherpenzeel!$F$210:$F$309,MATCH($A108,Scherpenzeel!$C$210:$C$309,0)),"")&lt;&gt;"",IFERROR(INDEX(Scherpenzeel!$F$210:$F$309,MATCH($A108,Scherpenzeel!$C$210:$C$309,0)),""),IF(IFERROR(INDEX('4'!$F$210:$F$309,MATCH($A108,'4'!$C$210:$C$309,0)),"")&lt;&gt;"",IFERROR(INDEX('4'!$F$210:$F$309,MATCH($A108,'4'!$C$210:$C$309,0)),""),IFERROR(INDEX('5'!$F$210:$F$309,MATCH($A108,'5'!$C$210:$C$309,0)),"")))))</f>
        <v/>
      </c>
      <c r="C108" s="24" t="str">
        <f>""</f>
        <v/>
      </c>
      <c r="D108" s="15">
        <f>0</f>
        <v>0</v>
      </c>
      <c r="E108" s="24" t="str">
        <f>IF($A108="","",IFERROR(INDEX(Baarn!$A$43:$A$129,MATCH($A108,Baarn!$C$43:$C$129,0)),""))</f>
        <v/>
      </c>
      <c r="F108" s="15">
        <f>IF($A108="",0,IFERROR(INDEX(Baarn!$I$43:$I$129,MATCH($A108,Baarn!$C$43:$C$129,0)),0))</f>
        <v>0</v>
      </c>
      <c r="G108" s="24" t="str">
        <f>IF($A108="","",IFERROR(INDEX(Scherpenzeel!$A$210:$A$309,MATCH($A108,Scherpenzeel!$C$210:$C$309,0)),""))</f>
        <v/>
      </c>
      <c r="H108" s="15">
        <f>IF($A108="",0,IFERROR(INDEX(Scherpenzeel!$I$210:$I$309,MATCH($A108,Scherpenzeel!$C$210:$C$309,0)),0))</f>
        <v>0</v>
      </c>
      <c r="I108" s="24" t="str">
        <f>IF($A108="","",IFERROR(INDEX('4'!$A$210:$A$309,MATCH($A108,'4'!$C$210:$C$309,0)),""))</f>
        <v/>
      </c>
      <c r="J108" s="15">
        <f>IF($A108="",0,IFERROR(INDEX('4'!$I$210:$I$309,MATCH($A108,'4'!$C$210:$C$309,0)),0))</f>
        <v>0</v>
      </c>
      <c r="K108" s="24" t="str">
        <f>IF($A108="","",IFERROR(INDEX('5'!$A$210:$A$309,MATCH($A108,'5'!$C$210:$C$309,0)),""))</f>
        <v/>
      </c>
      <c r="L108" s="15">
        <f>IF($A108="",0,IFERROR(INDEX('5'!$I$210:$I$309,MATCH($A108,'5'!$C$210:$C$309,0)),0))</f>
        <v>0</v>
      </c>
      <c r="M108" s="25" t="str">
        <f>IF($A108="","",D108+F108+H108+J108+L108)</f>
        <v/>
      </c>
      <c r="N108" s="26" t="str">
        <f>IF(OR($A108="",M108="",M108=0),"",RANK(M108,$M$4:$M$203,0))</f>
        <v/>
      </c>
      <c r="AA108">
        <f>Scherpenzeel!C230</f>
        <v>0</v>
      </c>
      <c r="AB108">
        <f>IF(AA108="",0,IF(COUNTIF($AA$1:AA108,AA108)=1,1,0))</f>
        <v>0</v>
      </c>
      <c r="AC108" t="str">
        <f>IF(AB108=1,COUNTIF($AB$1:AB108,1),"")</f>
        <v/>
      </c>
    </row>
    <row r="109" spans="1:29" x14ac:dyDescent="0.25">
      <c r="A109" s="13" t="str">
        <f>IFERROR(INDEX($AA$1:$AA$387,MATCH(106,$AC$1:$AC$387,0)),"")</f>
        <v/>
      </c>
      <c r="B109" s="13" t="str">
        <f>IF($A109="","",IF(IFERROR(INDEX(Baarn!$F$43:$F$129,MATCH($A109,Baarn!$C$43:$C$129,0)),"")&lt;&gt;"",IFERROR(INDEX(Baarn!$F$43:$F$129,MATCH($A109,Baarn!$C$43:$C$129,0)),""),IF(IFERROR(INDEX(Scherpenzeel!$F$210:$F$309,MATCH($A109,Scherpenzeel!$C$210:$C$309,0)),"")&lt;&gt;"",IFERROR(INDEX(Scherpenzeel!$F$210:$F$309,MATCH($A109,Scherpenzeel!$C$210:$C$309,0)),""),IF(IFERROR(INDEX('4'!$F$210:$F$309,MATCH($A109,'4'!$C$210:$C$309,0)),"")&lt;&gt;"",IFERROR(INDEX('4'!$F$210:$F$309,MATCH($A109,'4'!$C$210:$C$309,0)),""),IFERROR(INDEX('5'!$F$210:$F$309,MATCH($A109,'5'!$C$210:$C$309,0)),"")))))</f>
        <v/>
      </c>
      <c r="C109" s="24" t="str">
        <f>""</f>
        <v/>
      </c>
      <c r="D109" s="15">
        <f>0</f>
        <v>0</v>
      </c>
      <c r="E109" s="24" t="str">
        <f>IF($A109="","",IFERROR(INDEX(Baarn!$A$43:$A$129,MATCH($A109,Baarn!$C$43:$C$129,0)),""))</f>
        <v/>
      </c>
      <c r="F109" s="15">
        <f>IF($A109="",0,IFERROR(INDEX(Baarn!$I$43:$I$129,MATCH($A109,Baarn!$C$43:$C$129,0)),0))</f>
        <v>0</v>
      </c>
      <c r="G109" s="24" t="str">
        <f>IF($A109="","",IFERROR(INDEX(Scherpenzeel!$A$210:$A$309,MATCH($A109,Scherpenzeel!$C$210:$C$309,0)),""))</f>
        <v/>
      </c>
      <c r="H109" s="15">
        <f>IF($A109="",0,IFERROR(INDEX(Scherpenzeel!$I$210:$I$309,MATCH($A109,Scherpenzeel!$C$210:$C$309,0)),0))</f>
        <v>0</v>
      </c>
      <c r="I109" s="24" t="str">
        <f>IF($A109="","",IFERROR(INDEX('4'!$A$210:$A$309,MATCH($A109,'4'!$C$210:$C$309,0)),""))</f>
        <v/>
      </c>
      <c r="J109" s="15">
        <f>IF($A109="",0,IFERROR(INDEX('4'!$I$210:$I$309,MATCH($A109,'4'!$C$210:$C$309,0)),0))</f>
        <v>0</v>
      </c>
      <c r="K109" s="24" t="str">
        <f>IF($A109="","",IFERROR(INDEX('5'!$A$210:$A$309,MATCH($A109,'5'!$C$210:$C$309,0)),""))</f>
        <v/>
      </c>
      <c r="L109" s="15">
        <f>IF($A109="",0,IFERROR(INDEX('5'!$I$210:$I$309,MATCH($A109,'5'!$C$210:$C$309,0)),0))</f>
        <v>0</v>
      </c>
      <c r="M109" s="25" t="str">
        <f>IF($A109="","",D109+F109+H109+J109+L109)</f>
        <v/>
      </c>
      <c r="N109" s="26" t="str">
        <f>IF(OR($A109="",M109="",M109=0),"",RANK(M109,$M$4:$M$203,0))</f>
        <v/>
      </c>
      <c r="AA109">
        <f>Scherpenzeel!C231</f>
        <v>0</v>
      </c>
      <c r="AB109">
        <f>IF(AA109="",0,IF(COUNTIF($AA$1:AA109,AA109)=1,1,0))</f>
        <v>0</v>
      </c>
      <c r="AC109" t="str">
        <f>IF(AB109=1,COUNTIF($AB$1:AB109,1),"")</f>
        <v/>
      </c>
    </row>
    <row r="110" spans="1:29" x14ac:dyDescent="0.25">
      <c r="A110" s="13" t="str">
        <f>IFERROR(INDEX($AA$1:$AA$387,MATCH(107,$AC$1:$AC$387,0)),"")</f>
        <v/>
      </c>
      <c r="B110" s="13" t="str">
        <f>IF($A110="","",IF(IFERROR(INDEX(Baarn!$F$43:$F$129,MATCH($A110,Baarn!$C$43:$C$129,0)),"")&lt;&gt;"",IFERROR(INDEX(Baarn!$F$43:$F$129,MATCH($A110,Baarn!$C$43:$C$129,0)),""),IF(IFERROR(INDEX(Scherpenzeel!$F$210:$F$309,MATCH($A110,Scherpenzeel!$C$210:$C$309,0)),"")&lt;&gt;"",IFERROR(INDEX(Scherpenzeel!$F$210:$F$309,MATCH($A110,Scherpenzeel!$C$210:$C$309,0)),""),IF(IFERROR(INDEX('4'!$F$210:$F$309,MATCH($A110,'4'!$C$210:$C$309,0)),"")&lt;&gt;"",IFERROR(INDEX('4'!$F$210:$F$309,MATCH($A110,'4'!$C$210:$C$309,0)),""),IFERROR(INDEX('5'!$F$210:$F$309,MATCH($A110,'5'!$C$210:$C$309,0)),"")))))</f>
        <v/>
      </c>
      <c r="C110" s="24" t="str">
        <f>""</f>
        <v/>
      </c>
      <c r="D110" s="15">
        <f>0</f>
        <v>0</v>
      </c>
      <c r="E110" s="24" t="str">
        <f>IF($A110="","",IFERROR(INDEX(Baarn!$A$43:$A$129,MATCH($A110,Baarn!$C$43:$C$129,0)),""))</f>
        <v/>
      </c>
      <c r="F110" s="15">
        <f>IF($A110="",0,IFERROR(INDEX(Baarn!$I$43:$I$129,MATCH($A110,Baarn!$C$43:$C$129,0)),0))</f>
        <v>0</v>
      </c>
      <c r="G110" s="24" t="str">
        <f>IF($A110="","",IFERROR(INDEX(Scherpenzeel!$A$210:$A$309,MATCH($A110,Scherpenzeel!$C$210:$C$309,0)),""))</f>
        <v/>
      </c>
      <c r="H110" s="15">
        <f>IF($A110="",0,IFERROR(INDEX(Scherpenzeel!$I$210:$I$309,MATCH($A110,Scherpenzeel!$C$210:$C$309,0)),0))</f>
        <v>0</v>
      </c>
      <c r="I110" s="24" t="str">
        <f>IF($A110="","",IFERROR(INDEX('4'!$A$210:$A$309,MATCH($A110,'4'!$C$210:$C$309,0)),""))</f>
        <v/>
      </c>
      <c r="J110" s="15">
        <f>IF($A110="",0,IFERROR(INDEX('4'!$I$210:$I$309,MATCH($A110,'4'!$C$210:$C$309,0)),0))</f>
        <v>0</v>
      </c>
      <c r="K110" s="24" t="str">
        <f>IF($A110="","",IFERROR(INDEX('5'!$A$210:$A$309,MATCH($A110,'5'!$C$210:$C$309,0)),""))</f>
        <v/>
      </c>
      <c r="L110" s="15">
        <f>IF($A110="",0,IFERROR(INDEX('5'!$I$210:$I$309,MATCH($A110,'5'!$C$210:$C$309,0)),0))</f>
        <v>0</v>
      </c>
      <c r="M110" s="25" t="str">
        <f>IF($A110="","",D110+F110+H110+J110+L110)</f>
        <v/>
      </c>
      <c r="N110" s="26" t="str">
        <f>IF(OR($A110="",M110="",M110=0),"",RANK(M110,$M$4:$M$203,0))</f>
        <v/>
      </c>
      <c r="AA110">
        <f>Scherpenzeel!C232</f>
        <v>0</v>
      </c>
      <c r="AB110">
        <f>IF(AA110="",0,IF(COUNTIF($AA$1:AA110,AA110)=1,1,0))</f>
        <v>0</v>
      </c>
      <c r="AC110" t="str">
        <f>IF(AB110=1,COUNTIF($AB$1:AB110,1),"")</f>
        <v/>
      </c>
    </row>
    <row r="111" spans="1:29" x14ac:dyDescent="0.25">
      <c r="A111" s="13" t="str">
        <f>IFERROR(INDEX($AA$1:$AA$387,MATCH(108,$AC$1:$AC$387,0)),"")</f>
        <v/>
      </c>
      <c r="B111" s="13" t="str">
        <f>IF($A111="","",IF(IFERROR(INDEX(Baarn!$F$43:$F$129,MATCH($A111,Baarn!$C$43:$C$129,0)),"")&lt;&gt;"",IFERROR(INDEX(Baarn!$F$43:$F$129,MATCH($A111,Baarn!$C$43:$C$129,0)),""),IF(IFERROR(INDEX(Scherpenzeel!$F$210:$F$309,MATCH($A111,Scherpenzeel!$C$210:$C$309,0)),"")&lt;&gt;"",IFERROR(INDEX(Scherpenzeel!$F$210:$F$309,MATCH($A111,Scherpenzeel!$C$210:$C$309,0)),""),IF(IFERROR(INDEX('4'!$F$210:$F$309,MATCH($A111,'4'!$C$210:$C$309,0)),"")&lt;&gt;"",IFERROR(INDEX('4'!$F$210:$F$309,MATCH($A111,'4'!$C$210:$C$309,0)),""),IFERROR(INDEX('5'!$F$210:$F$309,MATCH($A111,'5'!$C$210:$C$309,0)),"")))))</f>
        <v/>
      </c>
      <c r="C111" s="24" t="str">
        <f>""</f>
        <v/>
      </c>
      <c r="D111" s="15">
        <f>0</f>
        <v>0</v>
      </c>
      <c r="E111" s="24" t="str">
        <f>IF($A111="","",IFERROR(INDEX(Baarn!$A$43:$A$129,MATCH($A111,Baarn!$C$43:$C$129,0)),""))</f>
        <v/>
      </c>
      <c r="F111" s="15">
        <f>IF($A111="",0,IFERROR(INDEX(Baarn!$I$43:$I$129,MATCH($A111,Baarn!$C$43:$C$129,0)),0))</f>
        <v>0</v>
      </c>
      <c r="G111" s="24" t="str">
        <f>IF($A111="","",IFERROR(INDEX(Scherpenzeel!$A$210:$A$309,MATCH($A111,Scherpenzeel!$C$210:$C$309,0)),""))</f>
        <v/>
      </c>
      <c r="H111" s="15">
        <f>IF($A111="",0,IFERROR(INDEX(Scherpenzeel!$I$210:$I$309,MATCH($A111,Scherpenzeel!$C$210:$C$309,0)),0))</f>
        <v>0</v>
      </c>
      <c r="I111" s="24" t="str">
        <f>IF($A111="","",IFERROR(INDEX('4'!$A$210:$A$309,MATCH($A111,'4'!$C$210:$C$309,0)),""))</f>
        <v/>
      </c>
      <c r="J111" s="15">
        <f>IF($A111="",0,IFERROR(INDEX('4'!$I$210:$I$309,MATCH($A111,'4'!$C$210:$C$309,0)),0))</f>
        <v>0</v>
      </c>
      <c r="K111" s="24" t="str">
        <f>IF($A111="","",IFERROR(INDEX('5'!$A$210:$A$309,MATCH($A111,'5'!$C$210:$C$309,0)),""))</f>
        <v/>
      </c>
      <c r="L111" s="15">
        <f>IF($A111="",0,IFERROR(INDEX('5'!$I$210:$I$309,MATCH($A111,'5'!$C$210:$C$309,0)),0))</f>
        <v>0</v>
      </c>
      <c r="M111" s="25" t="str">
        <f>IF($A111="","",D111+F111+H111+J111+L111)</f>
        <v/>
      </c>
      <c r="N111" s="26" t="str">
        <f>IF(OR($A111="",M111="",M111=0),"",RANK(M111,$M$4:$M$203,0))</f>
        <v/>
      </c>
      <c r="AA111">
        <f>Scherpenzeel!C233</f>
        <v>0</v>
      </c>
      <c r="AB111">
        <f>IF(AA111="",0,IF(COUNTIF($AA$1:AA111,AA111)=1,1,0))</f>
        <v>0</v>
      </c>
      <c r="AC111" t="str">
        <f>IF(AB111=1,COUNTIF($AB$1:AB111,1),"")</f>
        <v/>
      </c>
    </row>
    <row r="112" spans="1:29" x14ac:dyDescent="0.25">
      <c r="A112" s="13" t="str">
        <f>IFERROR(INDEX($AA$1:$AA$387,MATCH(109,$AC$1:$AC$387,0)),"")</f>
        <v/>
      </c>
      <c r="B112" s="13" t="str">
        <f>IF($A112="","",IF(IFERROR(INDEX(Baarn!$F$43:$F$129,MATCH($A112,Baarn!$C$43:$C$129,0)),"")&lt;&gt;"",IFERROR(INDEX(Baarn!$F$43:$F$129,MATCH($A112,Baarn!$C$43:$C$129,0)),""),IF(IFERROR(INDEX(Scherpenzeel!$F$210:$F$309,MATCH($A112,Scherpenzeel!$C$210:$C$309,0)),"")&lt;&gt;"",IFERROR(INDEX(Scherpenzeel!$F$210:$F$309,MATCH($A112,Scherpenzeel!$C$210:$C$309,0)),""),IF(IFERROR(INDEX('4'!$F$210:$F$309,MATCH($A112,'4'!$C$210:$C$309,0)),"")&lt;&gt;"",IFERROR(INDEX('4'!$F$210:$F$309,MATCH($A112,'4'!$C$210:$C$309,0)),""),IFERROR(INDEX('5'!$F$210:$F$309,MATCH($A112,'5'!$C$210:$C$309,0)),"")))))</f>
        <v/>
      </c>
      <c r="C112" s="24" t="str">
        <f>""</f>
        <v/>
      </c>
      <c r="D112" s="15">
        <f>0</f>
        <v>0</v>
      </c>
      <c r="E112" s="24" t="str">
        <f>IF($A112="","",IFERROR(INDEX(Baarn!$A$43:$A$129,MATCH($A112,Baarn!$C$43:$C$129,0)),""))</f>
        <v/>
      </c>
      <c r="F112" s="15">
        <f>IF($A112="",0,IFERROR(INDEX(Baarn!$I$43:$I$129,MATCH($A112,Baarn!$C$43:$C$129,0)),0))</f>
        <v>0</v>
      </c>
      <c r="G112" s="24" t="str">
        <f>IF($A112="","",IFERROR(INDEX(Scherpenzeel!$A$210:$A$309,MATCH($A112,Scherpenzeel!$C$210:$C$309,0)),""))</f>
        <v/>
      </c>
      <c r="H112" s="15">
        <f>IF($A112="",0,IFERROR(INDEX(Scherpenzeel!$I$210:$I$309,MATCH($A112,Scherpenzeel!$C$210:$C$309,0)),0))</f>
        <v>0</v>
      </c>
      <c r="I112" s="24" t="str">
        <f>IF($A112="","",IFERROR(INDEX('4'!$A$210:$A$309,MATCH($A112,'4'!$C$210:$C$309,0)),""))</f>
        <v/>
      </c>
      <c r="J112" s="15">
        <f>IF($A112="",0,IFERROR(INDEX('4'!$I$210:$I$309,MATCH($A112,'4'!$C$210:$C$309,0)),0))</f>
        <v>0</v>
      </c>
      <c r="K112" s="24" t="str">
        <f>IF($A112="","",IFERROR(INDEX('5'!$A$210:$A$309,MATCH($A112,'5'!$C$210:$C$309,0)),""))</f>
        <v/>
      </c>
      <c r="L112" s="15">
        <f>IF($A112="",0,IFERROR(INDEX('5'!$I$210:$I$309,MATCH($A112,'5'!$C$210:$C$309,0)),0))</f>
        <v>0</v>
      </c>
      <c r="M112" s="25" t="str">
        <f>IF($A112="","",D112+F112+H112+J112+L112)</f>
        <v/>
      </c>
      <c r="N112" s="26" t="str">
        <f>IF(OR($A112="",M112="",M112=0),"",RANK(M112,$M$4:$M$203,0))</f>
        <v/>
      </c>
      <c r="AA112">
        <f>Scherpenzeel!C234</f>
        <v>0</v>
      </c>
      <c r="AB112">
        <f>IF(AA112="",0,IF(COUNTIF($AA$1:AA112,AA112)=1,1,0))</f>
        <v>0</v>
      </c>
      <c r="AC112" t="str">
        <f>IF(AB112=1,COUNTIF($AB$1:AB112,1),"")</f>
        <v/>
      </c>
    </row>
    <row r="113" spans="1:29" x14ac:dyDescent="0.25">
      <c r="A113" s="13" t="str">
        <f>IFERROR(INDEX($AA$1:$AA$387,MATCH(110,$AC$1:$AC$387,0)),"")</f>
        <v/>
      </c>
      <c r="B113" s="13" t="str">
        <f>IF($A113="","",IF(IFERROR(INDEX(Baarn!$F$43:$F$129,MATCH($A113,Baarn!$C$43:$C$129,0)),"")&lt;&gt;"",IFERROR(INDEX(Baarn!$F$43:$F$129,MATCH($A113,Baarn!$C$43:$C$129,0)),""),IF(IFERROR(INDEX(Scherpenzeel!$F$210:$F$309,MATCH($A113,Scherpenzeel!$C$210:$C$309,0)),"")&lt;&gt;"",IFERROR(INDEX(Scherpenzeel!$F$210:$F$309,MATCH($A113,Scherpenzeel!$C$210:$C$309,0)),""),IF(IFERROR(INDEX('4'!$F$210:$F$309,MATCH($A113,'4'!$C$210:$C$309,0)),"")&lt;&gt;"",IFERROR(INDEX('4'!$F$210:$F$309,MATCH($A113,'4'!$C$210:$C$309,0)),""),IFERROR(INDEX('5'!$F$210:$F$309,MATCH($A113,'5'!$C$210:$C$309,0)),"")))))</f>
        <v/>
      </c>
      <c r="C113" s="24" t="str">
        <f>""</f>
        <v/>
      </c>
      <c r="D113" s="15">
        <f>0</f>
        <v>0</v>
      </c>
      <c r="E113" s="24" t="str">
        <f>IF($A113="","",IFERROR(INDEX(Baarn!$A$43:$A$129,MATCH($A113,Baarn!$C$43:$C$129,0)),""))</f>
        <v/>
      </c>
      <c r="F113" s="15">
        <f>IF($A113="",0,IFERROR(INDEX(Baarn!$I$43:$I$129,MATCH($A113,Baarn!$C$43:$C$129,0)),0))</f>
        <v>0</v>
      </c>
      <c r="G113" s="24" t="str">
        <f>IF($A113="","",IFERROR(INDEX(Scherpenzeel!$A$210:$A$309,MATCH($A113,Scherpenzeel!$C$210:$C$309,0)),""))</f>
        <v/>
      </c>
      <c r="H113" s="15">
        <f>IF($A113="",0,IFERROR(INDEX(Scherpenzeel!$I$210:$I$309,MATCH($A113,Scherpenzeel!$C$210:$C$309,0)),0))</f>
        <v>0</v>
      </c>
      <c r="I113" s="24" t="str">
        <f>IF($A113="","",IFERROR(INDEX('4'!$A$210:$A$309,MATCH($A113,'4'!$C$210:$C$309,0)),""))</f>
        <v/>
      </c>
      <c r="J113" s="15">
        <f>IF($A113="",0,IFERROR(INDEX('4'!$I$210:$I$309,MATCH($A113,'4'!$C$210:$C$309,0)),0))</f>
        <v>0</v>
      </c>
      <c r="K113" s="24" t="str">
        <f>IF($A113="","",IFERROR(INDEX('5'!$A$210:$A$309,MATCH($A113,'5'!$C$210:$C$309,0)),""))</f>
        <v/>
      </c>
      <c r="L113" s="15">
        <f>IF($A113="",0,IFERROR(INDEX('5'!$I$210:$I$309,MATCH($A113,'5'!$C$210:$C$309,0)),0))</f>
        <v>0</v>
      </c>
      <c r="M113" s="25" t="str">
        <f>IF($A113="","",D113+F113+H113+J113+L113)</f>
        <v/>
      </c>
      <c r="N113" s="26" t="str">
        <f>IF(OR($A113="",M113="",M113=0),"",RANK(M113,$M$4:$M$203,0))</f>
        <v/>
      </c>
      <c r="AA113">
        <f>Scherpenzeel!C235</f>
        <v>0</v>
      </c>
      <c r="AB113">
        <f>IF(AA113="",0,IF(COUNTIF($AA$1:AA113,AA113)=1,1,0))</f>
        <v>0</v>
      </c>
      <c r="AC113" t="str">
        <f>IF(AB113=1,COUNTIF($AB$1:AB113,1),"")</f>
        <v/>
      </c>
    </row>
    <row r="114" spans="1:29" x14ac:dyDescent="0.25">
      <c r="A114" s="13" t="str">
        <f>IFERROR(INDEX($AA$1:$AA$387,MATCH(111,$AC$1:$AC$387,0)),"")</f>
        <v/>
      </c>
      <c r="B114" s="13" t="str">
        <f>IF($A114="","",IF(IFERROR(INDEX(Baarn!$F$43:$F$129,MATCH($A114,Baarn!$C$43:$C$129,0)),"")&lt;&gt;"",IFERROR(INDEX(Baarn!$F$43:$F$129,MATCH($A114,Baarn!$C$43:$C$129,0)),""),IF(IFERROR(INDEX(Scherpenzeel!$F$210:$F$309,MATCH($A114,Scherpenzeel!$C$210:$C$309,0)),"")&lt;&gt;"",IFERROR(INDEX(Scherpenzeel!$F$210:$F$309,MATCH($A114,Scherpenzeel!$C$210:$C$309,0)),""),IF(IFERROR(INDEX('4'!$F$210:$F$309,MATCH($A114,'4'!$C$210:$C$309,0)),"")&lt;&gt;"",IFERROR(INDEX('4'!$F$210:$F$309,MATCH($A114,'4'!$C$210:$C$309,0)),""),IFERROR(INDEX('5'!$F$210:$F$309,MATCH($A114,'5'!$C$210:$C$309,0)),"")))))</f>
        <v/>
      </c>
      <c r="C114" s="24" t="str">
        <f>""</f>
        <v/>
      </c>
      <c r="D114" s="15">
        <f>0</f>
        <v>0</v>
      </c>
      <c r="E114" s="24" t="str">
        <f>IF($A114="","",IFERROR(INDEX(Baarn!$A$43:$A$129,MATCH($A114,Baarn!$C$43:$C$129,0)),""))</f>
        <v/>
      </c>
      <c r="F114" s="15">
        <f>IF($A114="",0,IFERROR(INDEX(Baarn!$I$43:$I$129,MATCH($A114,Baarn!$C$43:$C$129,0)),0))</f>
        <v>0</v>
      </c>
      <c r="G114" s="24" t="str">
        <f>IF($A114="","",IFERROR(INDEX(Scherpenzeel!$A$210:$A$309,MATCH($A114,Scherpenzeel!$C$210:$C$309,0)),""))</f>
        <v/>
      </c>
      <c r="H114" s="15">
        <f>IF($A114="",0,IFERROR(INDEX(Scherpenzeel!$I$210:$I$309,MATCH($A114,Scherpenzeel!$C$210:$C$309,0)),0))</f>
        <v>0</v>
      </c>
      <c r="I114" s="24" t="str">
        <f>IF($A114="","",IFERROR(INDEX('4'!$A$210:$A$309,MATCH($A114,'4'!$C$210:$C$309,0)),""))</f>
        <v/>
      </c>
      <c r="J114" s="15">
        <f>IF($A114="",0,IFERROR(INDEX('4'!$I$210:$I$309,MATCH($A114,'4'!$C$210:$C$309,0)),0))</f>
        <v>0</v>
      </c>
      <c r="K114" s="24" t="str">
        <f>IF($A114="","",IFERROR(INDEX('5'!$A$210:$A$309,MATCH($A114,'5'!$C$210:$C$309,0)),""))</f>
        <v/>
      </c>
      <c r="L114" s="15">
        <f>IF($A114="",0,IFERROR(INDEX('5'!$I$210:$I$309,MATCH($A114,'5'!$C$210:$C$309,0)),0))</f>
        <v>0</v>
      </c>
      <c r="M114" s="25" t="str">
        <f>IF($A114="","",D114+F114+H114+J114+L114)</f>
        <v/>
      </c>
      <c r="N114" s="26" t="str">
        <f>IF(OR($A114="",M114="",M114=0),"",RANK(M114,$M$4:$M$203,0))</f>
        <v/>
      </c>
      <c r="AA114">
        <f>Scherpenzeel!C236</f>
        <v>0</v>
      </c>
      <c r="AB114">
        <f>IF(AA114="",0,IF(COUNTIF($AA$1:AA114,AA114)=1,1,0))</f>
        <v>0</v>
      </c>
      <c r="AC114" t="str">
        <f>IF(AB114=1,COUNTIF($AB$1:AB114,1),"")</f>
        <v/>
      </c>
    </row>
    <row r="115" spans="1:29" x14ac:dyDescent="0.25">
      <c r="A115" s="13" t="str">
        <f>IFERROR(INDEX($AA$1:$AA$387,MATCH(112,$AC$1:$AC$387,0)),"")</f>
        <v/>
      </c>
      <c r="B115" s="13" t="str">
        <f>IF($A115="","",IF(IFERROR(INDEX(Baarn!$F$43:$F$129,MATCH($A115,Baarn!$C$43:$C$129,0)),"")&lt;&gt;"",IFERROR(INDEX(Baarn!$F$43:$F$129,MATCH($A115,Baarn!$C$43:$C$129,0)),""),IF(IFERROR(INDEX(Scherpenzeel!$F$210:$F$309,MATCH($A115,Scherpenzeel!$C$210:$C$309,0)),"")&lt;&gt;"",IFERROR(INDEX(Scherpenzeel!$F$210:$F$309,MATCH($A115,Scherpenzeel!$C$210:$C$309,0)),""),IF(IFERROR(INDEX('4'!$F$210:$F$309,MATCH($A115,'4'!$C$210:$C$309,0)),"")&lt;&gt;"",IFERROR(INDEX('4'!$F$210:$F$309,MATCH($A115,'4'!$C$210:$C$309,0)),""),IFERROR(INDEX('5'!$F$210:$F$309,MATCH($A115,'5'!$C$210:$C$309,0)),"")))))</f>
        <v/>
      </c>
      <c r="C115" s="24" t="str">
        <f>""</f>
        <v/>
      </c>
      <c r="D115" s="15">
        <f>0</f>
        <v>0</v>
      </c>
      <c r="E115" s="24" t="str">
        <f>IF($A115="","",IFERROR(INDEX(Baarn!$A$43:$A$129,MATCH($A115,Baarn!$C$43:$C$129,0)),""))</f>
        <v/>
      </c>
      <c r="F115" s="15">
        <f>IF($A115="",0,IFERROR(INDEX(Baarn!$I$43:$I$129,MATCH($A115,Baarn!$C$43:$C$129,0)),0))</f>
        <v>0</v>
      </c>
      <c r="G115" s="24" t="str">
        <f>IF($A115="","",IFERROR(INDEX(Scherpenzeel!$A$210:$A$309,MATCH($A115,Scherpenzeel!$C$210:$C$309,0)),""))</f>
        <v/>
      </c>
      <c r="H115" s="15">
        <f>IF($A115="",0,IFERROR(INDEX(Scherpenzeel!$I$210:$I$309,MATCH($A115,Scherpenzeel!$C$210:$C$309,0)),0))</f>
        <v>0</v>
      </c>
      <c r="I115" s="24" t="str">
        <f>IF($A115="","",IFERROR(INDEX('4'!$A$210:$A$309,MATCH($A115,'4'!$C$210:$C$309,0)),""))</f>
        <v/>
      </c>
      <c r="J115" s="15">
        <f>IF($A115="",0,IFERROR(INDEX('4'!$I$210:$I$309,MATCH($A115,'4'!$C$210:$C$309,0)),0))</f>
        <v>0</v>
      </c>
      <c r="K115" s="24" t="str">
        <f>IF($A115="","",IFERROR(INDEX('5'!$A$210:$A$309,MATCH($A115,'5'!$C$210:$C$309,0)),""))</f>
        <v/>
      </c>
      <c r="L115" s="15">
        <f>IF($A115="",0,IFERROR(INDEX('5'!$I$210:$I$309,MATCH($A115,'5'!$C$210:$C$309,0)),0))</f>
        <v>0</v>
      </c>
      <c r="M115" s="25" t="str">
        <f>IF($A115="","",D115+F115+H115+J115+L115)</f>
        <v/>
      </c>
      <c r="N115" s="26" t="str">
        <f>IF(OR($A115="",M115="",M115=0),"",RANK(M115,$M$4:$M$203,0))</f>
        <v/>
      </c>
      <c r="AA115">
        <f>Scherpenzeel!C237</f>
        <v>0</v>
      </c>
      <c r="AB115">
        <f>IF(AA115="",0,IF(COUNTIF($AA$1:AA115,AA115)=1,1,0))</f>
        <v>0</v>
      </c>
      <c r="AC115" t="str">
        <f>IF(AB115=1,COUNTIF($AB$1:AB115,1),"")</f>
        <v/>
      </c>
    </row>
    <row r="116" spans="1:29" x14ac:dyDescent="0.25">
      <c r="A116" s="13" t="str">
        <f>IFERROR(INDEX($AA$1:$AA$387,MATCH(113,$AC$1:$AC$387,0)),"")</f>
        <v/>
      </c>
      <c r="B116" s="13" t="str">
        <f>IF($A116="","",IF(IFERROR(INDEX(Baarn!$F$43:$F$129,MATCH($A116,Baarn!$C$43:$C$129,0)),"")&lt;&gt;"",IFERROR(INDEX(Baarn!$F$43:$F$129,MATCH($A116,Baarn!$C$43:$C$129,0)),""),IF(IFERROR(INDEX(Scherpenzeel!$F$210:$F$309,MATCH($A116,Scherpenzeel!$C$210:$C$309,0)),"")&lt;&gt;"",IFERROR(INDEX(Scherpenzeel!$F$210:$F$309,MATCH($A116,Scherpenzeel!$C$210:$C$309,0)),""),IF(IFERROR(INDEX('4'!$F$210:$F$309,MATCH($A116,'4'!$C$210:$C$309,0)),"")&lt;&gt;"",IFERROR(INDEX('4'!$F$210:$F$309,MATCH($A116,'4'!$C$210:$C$309,0)),""),IFERROR(INDEX('5'!$F$210:$F$309,MATCH($A116,'5'!$C$210:$C$309,0)),"")))))</f>
        <v/>
      </c>
      <c r="C116" s="24" t="str">
        <f>""</f>
        <v/>
      </c>
      <c r="D116" s="15">
        <f>0</f>
        <v>0</v>
      </c>
      <c r="E116" s="24" t="str">
        <f>IF($A116="","",IFERROR(INDEX(Baarn!$A$43:$A$129,MATCH($A116,Baarn!$C$43:$C$129,0)),""))</f>
        <v/>
      </c>
      <c r="F116" s="15">
        <f>IF($A116="",0,IFERROR(INDEX(Baarn!$I$43:$I$129,MATCH($A116,Baarn!$C$43:$C$129,0)),0))</f>
        <v>0</v>
      </c>
      <c r="G116" s="24" t="str">
        <f>IF($A116="","",IFERROR(INDEX(Scherpenzeel!$A$210:$A$309,MATCH($A116,Scherpenzeel!$C$210:$C$309,0)),""))</f>
        <v/>
      </c>
      <c r="H116" s="15">
        <f>IF($A116="",0,IFERROR(INDEX(Scherpenzeel!$I$210:$I$309,MATCH($A116,Scherpenzeel!$C$210:$C$309,0)),0))</f>
        <v>0</v>
      </c>
      <c r="I116" s="24" t="str">
        <f>IF($A116="","",IFERROR(INDEX('4'!$A$210:$A$309,MATCH($A116,'4'!$C$210:$C$309,0)),""))</f>
        <v/>
      </c>
      <c r="J116" s="15">
        <f>IF($A116="",0,IFERROR(INDEX('4'!$I$210:$I$309,MATCH($A116,'4'!$C$210:$C$309,0)),0))</f>
        <v>0</v>
      </c>
      <c r="K116" s="24" t="str">
        <f>IF($A116="","",IFERROR(INDEX('5'!$A$210:$A$309,MATCH($A116,'5'!$C$210:$C$309,0)),""))</f>
        <v/>
      </c>
      <c r="L116" s="15">
        <f>IF($A116="",0,IFERROR(INDEX('5'!$I$210:$I$309,MATCH($A116,'5'!$C$210:$C$309,0)),0))</f>
        <v>0</v>
      </c>
      <c r="M116" s="25" t="str">
        <f>IF($A116="","",D116+F116+H116+J116+L116)</f>
        <v/>
      </c>
      <c r="N116" s="26" t="str">
        <f>IF(OR($A116="",M116="",M116=0),"",RANK(M116,$M$4:$M$203,0))</f>
        <v/>
      </c>
      <c r="AA116">
        <f>Scherpenzeel!C238</f>
        <v>0</v>
      </c>
      <c r="AB116">
        <f>IF(AA116="",0,IF(COUNTIF($AA$1:AA116,AA116)=1,1,0))</f>
        <v>0</v>
      </c>
      <c r="AC116" t="str">
        <f>IF(AB116=1,COUNTIF($AB$1:AB116,1),"")</f>
        <v/>
      </c>
    </row>
    <row r="117" spans="1:29" x14ac:dyDescent="0.25">
      <c r="A117" s="13" t="str">
        <f>IFERROR(INDEX($AA$1:$AA$387,MATCH(114,$AC$1:$AC$387,0)),"")</f>
        <v/>
      </c>
      <c r="B117" s="13" t="str">
        <f>IF($A117="","",IF(IFERROR(INDEX(Baarn!$F$43:$F$129,MATCH($A117,Baarn!$C$43:$C$129,0)),"")&lt;&gt;"",IFERROR(INDEX(Baarn!$F$43:$F$129,MATCH($A117,Baarn!$C$43:$C$129,0)),""),IF(IFERROR(INDEX(Scherpenzeel!$F$210:$F$309,MATCH($A117,Scherpenzeel!$C$210:$C$309,0)),"")&lt;&gt;"",IFERROR(INDEX(Scherpenzeel!$F$210:$F$309,MATCH($A117,Scherpenzeel!$C$210:$C$309,0)),""),IF(IFERROR(INDEX('4'!$F$210:$F$309,MATCH($A117,'4'!$C$210:$C$309,0)),"")&lt;&gt;"",IFERROR(INDEX('4'!$F$210:$F$309,MATCH($A117,'4'!$C$210:$C$309,0)),""),IFERROR(INDEX('5'!$F$210:$F$309,MATCH($A117,'5'!$C$210:$C$309,0)),"")))))</f>
        <v/>
      </c>
      <c r="C117" s="24" t="str">
        <f>""</f>
        <v/>
      </c>
      <c r="D117" s="15">
        <f>0</f>
        <v>0</v>
      </c>
      <c r="E117" s="24" t="str">
        <f>IF($A117="","",IFERROR(INDEX(Baarn!$A$43:$A$129,MATCH($A117,Baarn!$C$43:$C$129,0)),""))</f>
        <v/>
      </c>
      <c r="F117" s="15">
        <f>IF($A117="",0,IFERROR(INDEX(Baarn!$I$43:$I$129,MATCH($A117,Baarn!$C$43:$C$129,0)),0))</f>
        <v>0</v>
      </c>
      <c r="G117" s="24" t="str">
        <f>IF($A117="","",IFERROR(INDEX(Scherpenzeel!$A$210:$A$309,MATCH($A117,Scherpenzeel!$C$210:$C$309,0)),""))</f>
        <v/>
      </c>
      <c r="H117" s="15">
        <f>IF($A117="",0,IFERROR(INDEX(Scherpenzeel!$I$210:$I$309,MATCH($A117,Scherpenzeel!$C$210:$C$309,0)),0))</f>
        <v>0</v>
      </c>
      <c r="I117" s="24" t="str">
        <f>IF($A117="","",IFERROR(INDEX('4'!$A$210:$A$309,MATCH($A117,'4'!$C$210:$C$309,0)),""))</f>
        <v/>
      </c>
      <c r="J117" s="15">
        <f>IF($A117="",0,IFERROR(INDEX('4'!$I$210:$I$309,MATCH($A117,'4'!$C$210:$C$309,0)),0))</f>
        <v>0</v>
      </c>
      <c r="K117" s="24" t="str">
        <f>IF($A117="","",IFERROR(INDEX('5'!$A$210:$A$309,MATCH($A117,'5'!$C$210:$C$309,0)),""))</f>
        <v/>
      </c>
      <c r="L117" s="15">
        <f>IF($A117="",0,IFERROR(INDEX('5'!$I$210:$I$309,MATCH($A117,'5'!$C$210:$C$309,0)),0))</f>
        <v>0</v>
      </c>
      <c r="M117" s="25" t="str">
        <f>IF($A117="","",D117+F117+H117+J117+L117)</f>
        <v/>
      </c>
      <c r="N117" s="26" t="str">
        <f>IF(OR($A117="",M117="",M117=0),"",RANK(M117,$M$4:$M$203,0))</f>
        <v/>
      </c>
      <c r="AA117">
        <f>Scherpenzeel!C239</f>
        <v>0</v>
      </c>
      <c r="AB117">
        <f>IF(AA117="",0,IF(COUNTIF($AA$1:AA117,AA117)=1,1,0))</f>
        <v>0</v>
      </c>
      <c r="AC117" t="str">
        <f>IF(AB117=1,COUNTIF($AB$1:AB117,1),"")</f>
        <v/>
      </c>
    </row>
    <row r="118" spans="1:29" x14ac:dyDescent="0.25">
      <c r="A118" s="13" t="str">
        <f>IFERROR(INDEX($AA$1:$AA$387,MATCH(115,$AC$1:$AC$387,0)),"")</f>
        <v/>
      </c>
      <c r="B118" s="13" t="str">
        <f>IF($A118="","",IF(IFERROR(INDEX(Baarn!$F$43:$F$129,MATCH($A118,Baarn!$C$43:$C$129,0)),"")&lt;&gt;"",IFERROR(INDEX(Baarn!$F$43:$F$129,MATCH($A118,Baarn!$C$43:$C$129,0)),""),IF(IFERROR(INDEX(Scherpenzeel!$F$210:$F$309,MATCH($A118,Scherpenzeel!$C$210:$C$309,0)),"")&lt;&gt;"",IFERROR(INDEX(Scherpenzeel!$F$210:$F$309,MATCH($A118,Scherpenzeel!$C$210:$C$309,0)),""),IF(IFERROR(INDEX('4'!$F$210:$F$309,MATCH($A118,'4'!$C$210:$C$309,0)),"")&lt;&gt;"",IFERROR(INDEX('4'!$F$210:$F$309,MATCH($A118,'4'!$C$210:$C$309,0)),""),IFERROR(INDEX('5'!$F$210:$F$309,MATCH($A118,'5'!$C$210:$C$309,0)),"")))))</f>
        <v/>
      </c>
      <c r="C118" s="24" t="str">
        <f>""</f>
        <v/>
      </c>
      <c r="D118" s="15">
        <f>0</f>
        <v>0</v>
      </c>
      <c r="E118" s="24" t="str">
        <f>IF($A118="","",IFERROR(INDEX(Baarn!$A$43:$A$129,MATCH($A118,Baarn!$C$43:$C$129,0)),""))</f>
        <v/>
      </c>
      <c r="F118" s="15">
        <f>IF($A118="",0,IFERROR(INDEX(Baarn!$I$43:$I$129,MATCH($A118,Baarn!$C$43:$C$129,0)),0))</f>
        <v>0</v>
      </c>
      <c r="G118" s="24" t="str">
        <f>IF($A118="","",IFERROR(INDEX(Scherpenzeel!$A$210:$A$309,MATCH($A118,Scherpenzeel!$C$210:$C$309,0)),""))</f>
        <v/>
      </c>
      <c r="H118" s="15">
        <f>IF($A118="",0,IFERROR(INDEX(Scherpenzeel!$I$210:$I$309,MATCH($A118,Scherpenzeel!$C$210:$C$309,0)),0))</f>
        <v>0</v>
      </c>
      <c r="I118" s="24" t="str">
        <f>IF($A118="","",IFERROR(INDEX('4'!$A$210:$A$309,MATCH($A118,'4'!$C$210:$C$309,0)),""))</f>
        <v/>
      </c>
      <c r="J118" s="15">
        <f>IF($A118="",0,IFERROR(INDEX('4'!$I$210:$I$309,MATCH($A118,'4'!$C$210:$C$309,0)),0))</f>
        <v>0</v>
      </c>
      <c r="K118" s="24" t="str">
        <f>IF($A118="","",IFERROR(INDEX('5'!$A$210:$A$309,MATCH($A118,'5'!$C$210:$C$309,0)),""))</f>
        <v/>
      </c>
      <c r="L118" s="15">
        <f>IF($A118="",0,IFERROR(INDEX('5'!$I$210:$I$309,MATCH($A118,'5'!$C$210:$C$309,0)),0))</f>
        <v>0</v>
      </c>
      <c r="M118" s="25" t="str">
        <f>IF($A118="","",D118+F118+H118+J118+L118)</f>
        <v/>
      </c>
      <c r="N118" s="26" t="str">
        <f>IF(OR($A118="",M118="",M118=0),"",RANK(M118,$M$4:$M$203,0))</f>
        <v/>
      </c>
      <c r="AA118">
        <f>Scherpenzeel!C240</f>
        <v>0</v>
      </c>
      <c r="AB118">
        <f>IF(AA118="",0,IF(COUNTIF($AA$1:AA118,AA118)=1,1,0))</f>
        <v>0</v>
      </c>
      <c r="AC118" t="str">
        <f>IF(AB118=1,COUNTIF($AB$1:AB118,1),"")</f>
        <v/>
      </c>
    </row>
    <row r="119" spans="1:29" x14ac:dyDescent="0.25">
      <c r="A119" s="13" t="str">
        <f>IFERROR(INDEX($AA$1:$AA$387,MATCH(116,$AC$1:$AC$387,0)),"")</f>
        <v/>
      </c>
      <c r="B119" s="13" t="str">
        <f>IF($A119="","",IF(IFERROR(INDEX(Baarn!$F$43:$F$129,MATCH($A119,Baarn!$C$43:$C$129,0)),"")&lt;&gt;"",IFERROR(INDEX(Baarn!$F$43:$F$129,MATCH($A119,Baarn!$C$43:$C$129,0)),""),IF(IFERROR(INDEX(Scherpenzeel!$F$210:$F$309,MATCH($A119,Scherpenzeel!$C$210:$C$309,0)),"")&lt;&gt;"",IFERROR(INDEX(Scherpenzeel!$F$210:$F$309,MATCH($A119,Scherpenzeel!$C$210:$C$309,0)),""),IF(IFERROR(INDEX('4'!$F$210:$F$309,MATCH($A119,'4'!$C$210:$C$309,0)),"")&lt;&gt;"",IFERROR(INDEX('4'!$F$210:$F$309,MATCH($A119,'4'!$C$210:$C$309,0)),""),IFERROR(INDEX('5'!$F$210:$F$309,MATCH($A119,'5'!$C$210:$C$309,0)),"")))))</f>
        <v/>
      </c>
      <c r="C119" s="24" t="str">
        <f>""</f>
        <v/>
      </c>
      <c r="D119" s="15">
        <f>0</f>
        <v>0</v>
      </c>
      <c r="E119" s="24" t="str">
        <f>IF($A119="","",IFERROR(INDEX(Baarn!$A$43:$A$129,MATCH($A119,Baarn!$C$43:$C$129,0)),""))</f>
        <v/>
      </c>
      <c r="F119" s="15">
        <f>IF($A119="",0,IFERROR(INDEX(Baarn!$I$43:$I$129,MATCH($A119,Baarn!$C$43:$C$129,0)),0))</f>
        <v>0</v>
      </c>
      <c r="G119" s="24" t="str">
        <f>IF($A119="","",IFERROR(INDEX(Scherpenzeel!$A$210:$A$309,MATCH($A119,Scherpenzeel!$C$210:$C$309,0)),""))</f>
        <v/>
      </c>
      <c r="H119" s="15">
        <f>IF($A119="",0,IFERROR(INDEX(Scherpenzeel!$I$210:$I$309,MATCH($A119,Scherpenzeel!$C$210:$C$309,0)),0))</f>
        <v>0</v>
      </c>
      <c r="I119" s="24" t="str">
        <f>IF($A119="","",IFERROR(INDEX('4'!$A$210:$A$309,MATCH($A119,'4'!$C$210:$C$309,0)),""))</f>
        <v/>
      </c>
      <c r="J119" s="15">
        <f>IF($A119="",0,IFERROR(INDEX('4'!$I$210:$I$309,MATCH($A119,'4'!$C$210:$C$309,0)),0))</f>
        <v>0</v>
      </c>
      <c r="K119" s="24" t="str">
        <f>IF($A119="","",IFERROR(INDEX('5'!$A$210:$A$309,MATCH($A119,'5'!$C$210:$C$309,0)),""))</f>
        <v/>
      </c>
      <c r="L119" s="15">
        <f>IF($A119="",0,IFERROR(INDEX('5'!$I$210:$I$309,MATCH($A119,'5'!$C$210:$C$309,0)),0))</f>
        <v>0</v>
      </c>
      <c r="M119" s="25" t="str">
        <f>IF($A119="","",D119+F119+H119+J119+L119)</f>
        <v/>
      </c>
      <c r="N119" s="26" t="str">
        <f>IF(OR($A119="",M119="",M119=0),"",RANK(M119,$M$4:$M$203,0))</f>
        <v/>
      </c>
      <c r="AA119">
        <f>Scherpenzeel!C241</f>
        <v>0</v>
      </c>
      <c r="AB119">
        <f>IF(AA119="",0,IF(COUNTIF($AA$1:AA119,AA119)=1,1,0))</f>
        <v>0</v>
      </c>
      <c r="AC119" t="str">
        <f>IF(AB119=1,COUNTIF($AB$1:AB119,1),"")</f>
        <v/>
      </c>
    </row>
    <row r="120" spans="1:29" x14ac:dyDescent="0.25">
      <c r="A120" s="13" t="str">
        <f>IFERROR(INDEX($AA$1:$AA$387,MATCH(117,$AC$1:$AC$387,0)),"")</f>
        <v/>
      </c>
      <c r="B120" s="13" t="str">
        <f>IF($A120="","",IF(IFERROR(INDEX(Baarn!$F$43:$F$129,MATCH($A120,Baarn!$C$43:$C$129,0)),"")&lt;&gt;"",IFERROR(INDEX(Baarn!$F$43:$F$129,MATCH($A120,Baarn!$C$43:$C$129,0)),""),IF(IFERROR(INDEX(Scherpenzeel!$F$210:$F$309,MATCH($A120,Scherpenzeel!$C$210:$C$309,0)),"")&lt;&gt;"",IFERROR(INDEX(Scherpenzeel!$F$210:$F$309,MATCH($A120,Scherpenzeel!$C$210:$C$309,0)),""),IF(IFERROR(INDEX('4'!$F$210:$F$309,MATCH($A120,'4'!$C$210:$C$309,0)),"")&lt;&gt;"",IFERROR(INDEX('4'!$F$210:$F$309,MATCH($A120,'4'!$C$210:$C$309,0)),""),IFERROR(INDEX('5'!$F$210:$F$309,MATCH($A120,'5'!$C$210:$C$309,0)),"")))))</f>
        <v/>
      </c>
      <c r="C120" s="24" t="str">
        <f>""</f>
        <v/>
      </c>
      <c r="D120" s="15">
        <f>0</f>
        <v>0</v>
      </c>
      <c r="E120" s="24" t="str">
        <f>IF($A120="","",IFERROR(INDEX(Baarn!$A$43:$A$129,MATCH($A120,Baarn!$C$43:$C$129,0)),""))</f>
        <v/>
      </c>
      <c r="F120" s="15">
        <f>IF($A120="",0,IFERROR(INDEX(Baarn!$I$43:$I$129,MATCH($A120,Baarn!$C$43:$C$129,0)),0))</f>
        <v>0</v>
      </c>
      <c r="G120" s="24" t="str">
        <f>IF($A120="","",IFERROR(INDEX(Scherpenzeel!$A$210:$A$309,MATCH($A120,Scherpenzeel!$C$210:$C$309,0)),""))</f>
        <v/>
      </c>
      <c r="H120" s="15">
        <f>IF($A120="",0,IFERROR(INDEX(Scherpenzeel!$I$210:$I$309,MATCH($A120,Scherpenzeel!$C$210:$C$309,0)),0))</f>
        <v>0</v>
      </c>
      <c r="I120" s="24" t="str">
        <f>IF($A120="","",IFERROR(INDEX('4'!$A$210:$A$309,MATCH($A120,'4'!$C$210:$C$309,0)),""))</f>
        <v/>
      </c>
      <c r="J120" s="15">
        <f>IF($A120="",0,IFERROR(INDEX('4'!$I$210:$I$309,MATCH($A120,'4'!$C$210:$C$309,0)),0))</f>
        <v>0</v>
      </c>
      <c r="K120" s="24" t="str">
        <f>IF($A120="","",IFERROR(INDEX('5'!$A$210:$A$309,MATCH($A120,'5'!$C$210:$C$309,0)),""))</f>
        <v/>
      </c>
      <c r="L120" s="15">
        <f>IF($A120="",0,IFERROR(INDEX('5'!$I$210:$I$309,MATCH($A120,'5'!$C$210:$C$309,0)),0))</f>
        <v>0</v>
      </c>
      <c r="M120" s="25" t="str">
        <f>IF($A120="","",D120+F120+H120+J120+L120)</f>
        <v/>
      </c>
      <c r="N120" s="26" t="str">
        <f>IF(OR($A120="",M120="",M120=0),"",RANK(M120,$M$4:$M$203,0))</f>
        <v/>
      </c>
      <c r="AA120">
        <f>Scherpenzeel!C242</f>
        <v>0</v>
      </c>
      <c r="AB120">
        <f>IF(AA120="",0,IF(COUNTIF($AA$1:AA120,AA120)=1,1,0))</f>
        <v>0</v>
      </c>
      <c r="AC120" t="str">
        <f>IF(AB120=1,COUNTIF($AB$1:AB120,1),"")</f>
        <v/>
      </c>
    </row>
    <row r="121" spans="1:29" x14ac:dyDescent="0.25">
      <c r="A121" s="13" t="str">
        <f>IFERROR(INDEX($AA$1:$AA$387,MATCH(118,$AC$1:$AC$387,0)),"")</f>
        <v/>
      </c>
      <c r="B121" s="13" t="str">
        <f>IF($A121="","",IF(IFERROR(INDEX(Baarn!$F$43:$F$129,MATCH($A121,Baarn!$C$43:$C$129,0)),"")&lt;&gt;"",IFERROR(INDEX(Baarn!$F$43:$F$129,MATCH($A121,Baarn!$C$43:$C$129,0)),""),IF(IFERROR(INDEX(Scherpenzeel!$F$210:$F$309,MATCH($A121,Scherpenzeel!$C$210:$C$309,0)),"")&lt;&gt;"",IFERROR(INDEX(Scherpenzeel!$F$210:$F$309,MATCH($A121,Scherpenzeel!$C$210:$C$309,0)),""),IF(IFERROR(INDEX('4'!$F$210:$F$309,MATCH($A121,'4'!$C$210:$C$309,0)),"")&lt;&gt;"",IFERROR(INDEX('4'!$F$210:$F$309,MATCH($A121,'4'!$C$210:$C$309,0)),""),IFERROR(INDEX('5'!$F$210:$F$309,MATCH($A121,'5'!$C$210:$C$309,0)),"")))))</f>
        <v/>
      </c>
      <c r="C121" s="24" t="str">
        <f>""</f>
        <v/>
      </c>
      <c r="D121" s="15">
        <f>0</f>
        <v>0</v>
      </c>
      <c r="E121" s="24" t="str">
        <f>IF($A121="","",IFERROR(INDEX(Baarn!$A$43:$A$129,MATCH($A121,Baarn!$C$43:$C$129,0)),""))</f>
        <v/>
      </c>
      <c r="F121" s="15">
        <f>IF($A121="",0,IFERROR(INDEX(Baarn!$I$43:$I$129,MATCH($A121,Baarn!$C$43:$C$129,0)),0))</f>
        <v>0</v>
      </c>
      <c r="G121" s="24" t="str">
        <f>IF($A121="","",IFERROR(INDEX(Scherpenzeel!$A$210:$A$309,MATCH($A121,Scherpenzeel!$C$210:$C$309,0)),""))</f>
        <v/>
      </c>
      <c r="H121" s="15">
        <f>IF($A121="",0,IFERROR(INDEX(Scherpenzeel!$I$210:$I$309,MATCH($A121,Scherpenzeel!$C$210:$C$309,0)),0))</f>
        <v>0</v>
      </c>
      <c r="I121" s="24" t="str">
        <f>IF($A121="","",IFERROR(INDEX('4'!$A$210:$A$309,MATCH($A121,'4'!$C$210:$C$309,0)),""))</f>
        <v/>
      </c>
      <c r="J121" s="15">
        <f>IF($A121="",0,IFERROR(INDEX('4'!$I$210:$I$309,MATCH($A121,'4'!$C$210:$C$309,0)),0))</f>
        <v>0</v>
      </c>
      <c r="K121" s="24" t="str">
        <f>IF($A121="","",IFERROR(INDEX('5'!$A$210:$A$309,MATCH($A121,'5'!$C$210:$C$309,0)),""))</f>
        <v/>
      </c>
      <c r="L121" s="15">
        <f>IF($A121="",0,IFERROR(INDEX('5'!$I$210:$I$309,MATCH($A121,'5'!$C$210:$C$309,0)),0))</f>
        <v>0</v>
      </c>
      <c r="M121" s="25" t="str">
        <f>IF($A121="","",D121+F121+H121+J121+L121)</f>
        <v/>
      </c>
      <c r="N121" s="26" t="str">
        <f>IF(OR($A121="",M121="",M121=0),"",RANK(M121,$M$4:$M$203,0))</f>
        <v/>
      </c>
      <c r="AA121">
        <f>Scherpenzeel!C243</f>
        <v>0</v>
      </c>
      <c r="AB121">
        <f>IF(AA121="",0,IF(COUNTIF($AA$1:AA121,AA121)=1,1,0))</f>
        <v>0</v>
      </c>
      <c r="AC121" t="str">
        <f>IF(AB121=1,COUNTIF($AB$1:AB121,1),"")</f>
        <v/>
      </c>
    </row>
    <row r="122" spans="1:29" x14ac:dyDescent="0.25">
      <c r="A122" s="13" t="str">
        <f>IFERROR(INDEX($AA$1:$AA$387,MATCH(119,$AC$1:$AC$387,0)),"")</f>
        <v/>
      </c>
      <c r="B122" s="13" t="str">
        <f>IF($A122="","",IF(IFERROR(INDEX(Baarn!$F$43:$F$129,MATCH($A122,Baarn!$C$43:$C$129,0)),"")&lt;&gt;"",IFERROR(INDEX(Baarn!$F$43:$F$129,MATCH($A122,Baarn!$C$43:$C$129,0)),""),IF(IFERROR(INDEX(Scherpenzeel!$F$210:$F$309,MATCH($A122,Scherpenzeel!$C$210:$C$309,0)),"")&lt;&gt;"",IFERROR(INDEX(Scherpenzeel!$F$210:$F$309,MATCH($A122,Scherpenzeel!$C$210:$C$309,0)),""),IF(IFERROR(INDEX('4'!$F$210:$F$309,MATCH($A122,'4'!$C$210:$C$309,0)),"")&lt;&gt;"",IFERROR(INDEX('4'!$F$210:$F$309,MATCH($A122,'4'!$C$210:$C$309,0)),""),IFERROR(INDEX('5'!$F$210:$F$309,MATCH($A122,'5'!$C$210:$C$309,0)),"")))))</f>
        <v/>
      </c>
      <c r="C122" s="24" t="str">
        <f>""</f>
        <v/>
      </c>
      <c r="D122" s="15">
        <f>0</f>
        <v>0</v>
      </c>
      <c r="E122" s="24" t="str">
        <f>IF($A122="","",IFERROR(INDEX(Baarn!$A$43:$A$129,MATCH($A122,Baarn!$C$43:$C$129,0)),""))</f>
        <v/>
      </c>
      <c r="F122" s="15">
        <f>IF($A122="",0,IFERROR(INDEX(Baarn!$I$43:$I$129,MATCH($A122,Baarn!$C$43:$C$129,0)),0))</f>
        <v>0</v>
      </c>
      <c r="G122" s="24" t="str">
        <f>IF($A122="","",IFERROR(INDEX(Scherpenzeel!$A$210:$A$309,MATCH($A122,Scherpenzeel!$C$210:$C$309,0)),""))</f>
        <v/>
      </c>
      <c r="H122" s="15">
        <f>IF($A122="",0,IFERROR(INDEX(Scherpenzeel!$I$210:$I$309,MATCH($A122,Scherpenzeel!$C$210:$C$309,0)),0))</f>
        <v>0</v>
      </c>
      <c r="I122" s="24" t="str">
        <f>IF($A122="","",IFERROR(INDEX('4'!$A$210:$A$309,MATCH($A122,'4'!$C$210:$C$309,0)),""))</f>
        <v/>
      </c>
      <c r="J122" s="15">
        <f>IF($A122="",0,IFERROR(INDEX('4'!$I$210:$I$309,MATCH($A122,'4'!$C$210:$C$309,0)),0))</f>
        <v>0</v>
      </c>
      <c r="K122" s="24" t="str">
        <f>IF($A122="","",IFERROR(INDEX('5'!$A$210:$A$309,MATCH($A122,'5'!$C$210:$C$309,0)),""))</f>
        <v/>
      </c>
      <c r="L122" s="15">
        <f>IF($A122="",0,IFERROR(INDEX('5'!$I$210:$I$309,MATCH($A122,'5'!$C$210:$C$309,0)),0))</f>
        <v>0</v>
      </c>
      <c r="M122" s="25" t="str">
        <f>IF($A122="","",D122+F122+H122+J122+L122)</f>
        <v/>
      </c>
      <c r="N122" s="26" t="str">
        <f>IF(OR($A122="",M122="",M122=0),"",RANK(M122,$M$4:$M$203,0))</f>
        <v/>
      </c>
      <c r="AA122">
        <f>Scherpenzeel!C244</f>
        <v>0</v>
      </c>
      <c r="AB122">
        <f>IF(AA122="",0,IF(COUNTIF($AA$1:AA122,AA122)=1,1,0))</f>
        <v>0</v>
      </c>
      <c r="AC122" t="str">
        <f>IF(AB122=1,COUNTIF($AB$1:AB122,1),"")</f>
        <v/>
      </c>
    </row>
    <row r="123" spans="1:29" x14ac:dyDescent="0.25">
      <c r="A123" s="13" t="str">
        <f>IFERROR(INDEX($AA$1:$AA$387,MATCH(120,$AC$1:$AC$387,0)),"")</f>
        <v/>
      </c>
      <c r="B123" s="13" t="str">
        <f>IF($A123="","",IF(IFERROR(INDEX(Baarn!$F$43:$F$129,MATCH($A123,Baarn!$C$43:$C$129,0)),"")&lt;&gt;"",IFERROR(INDEX(Baarn!$F$43:$F$129,MATCH($A123,Baarn!$C$43:$C$129,0)),""),IF(IFERROR(INDEX(Scherpenzeel!$F$210:$F$309,MATCH($A123,Scherpenzeel!$C$210:$C$309,0)),"")&lt;&gt;"",IFERROR(INDEX(Scherpenzeel!$F$210:$F$309,MATCH($A123,Scherpenzeel!$C$210:$C$309,0)),""),IF(IFERROR(INDEX('4'!$F$210:$F$309,MATCH($A123,'4'!$C$210:$C$309,0)),"")&lt;&gt;"",IFERROR(INDEX('4'!$F$210:$F$309,MATCH($A123,'4'!$C$210:$C$309,0)),""),IFERROR(INDEX('5'!$F$210:$F$309,MATCH($A123,'5'!$C$210:$C$309,0)),"")))))</f>
        <v/>
      </c>
      <c r="C123" s="24" t="str">
        <f>""</f>
        <v/>
      </c>
      <c r="D123" s="15">
        <f>0</f>
        <v>0</v>
      </c>
      <c r="E123" s="24" t="str">
        <f>IF($A123="","",IFERROR(INDEX(Baarn!$A$43:$A$129,MATCH($A123,Baarn!$C$43:$C$129,0)),""))</f>
        <v/>
      </c>
      <c r="F123" s="15">
        <f>IF($A123="",0,IFERROR(INDEX(Baarn!$I$43:$I$129,MATCH($A123,Baarn!$C$43:$C$129,0)),0))</f>
        <v>0</v>
      </c>
      <c r="G123" s="24" t="str">
        <f>IF($A123="","",IFERROR(INDEX(Scherpenzeel!$A$210:$A$309,MATCH($A123,Scherpenzeel!$C$210:$C$309,0)),""))</f>
        <v/>
      </c>
      <c r="H123" s="15">
        <f>IF($A123="",0,IFERROR(INDEX(Scherpenzeel!$I$210:$I$309,MATCH($A123,Scherpenzeel!$C$210:$C$309,0)),0))</f>
        <v>0</v>
      </c>
      <c r="I123" s="24" t="str">
        <f>IF($A123="","",IFERROR(INDEX('4'!$A$210:$A$309,MATCH($A123,'4'!$C$210:$C$309,0)),""))</f>
        <v/>
      </c>
      <c r="J123" s="15">
        <f>IF($A123="",0,IFERROR(INDEX('4'!$I$210:$I$309,MATCH($A123,'4'!$C$210:$C$309,0)),0))</f>
        <v>0</v>
      </c>
      <c r="K123" s="24" t="str">
        <f>IF($A123="","",IFERROR(INDEX('5'!$A$210:$A$309,MATCH($A123,'5'!$C$210:$C$309,0)),""))</f>
        <v/>
      </c>
      <c r="L123" s="15">
        <f>IF($A123="",0,IFERROR(INDEX('5'!$I$210:$I$309,MATCH($A123,'5'!$C$210:$C$309,0)),0))</f>
        <v>0</v>
      </c>
      <c r="M123" s="25" t="str">
        <f>IF($A123="","",D123+F123+H123+J123+L123)</f>
        <v/>
      </c>
      <c r="N123" s="26" t="str">
        <f>IF(OR($A123="",M123="",M123=0),"",RANK(M123,$M$4:$M$203,0))</f>
        <v/>
      </c>
      <c r="AA123">
        <f>Scherpenzeel!C245</f>
        <v>0</v>
      </c>
      <c r="AB123">
        <f>IF(AA123="",0,IF(COUNTIF($AA$1:AA123,AA123)=1,1,0))</f>
        <v>0</v>
      </c>
      <c r="AC123" t="str">
        <f>IF(AB123=1,COUNTIF($AB$1:AB123,1),"")</f>
        <v/>
      </c>
    </row>
    <row r="124" spans="1:29" x14ac:dyDescent="0.25">
      <c r="A124" s="13" t="str">
        <f>IFERROR(INDEX($AA$1:$AA$387,MATCH(121,$AC$1:$AC$387,0)),"")</f>
        <v/>
      </c>
      <c r="B124" s="13" t="str">
        <f>IF($A124="","",IF(IFERROR(INDEX(Baarn!$F$43:$F$129,MATCH($A124,Baarn!$C$43:$C$129,0)),"")&lt;&gt;"",IFERROR(INDEX(Baarn!$F$43:$F$129,MATCH($A124,Baarn!$C$43:$C$129,0)),""),IF(IFERROR(INDEX(Scherpenzeel!$F$210:$F$309,MATCH($A124,Scherpenzeel!$C$210:$C$309,0)),"")&lt;&gt;"",IFERROR(INDEX(Scherpenzeel!$F$210:$F$309,MATCH($A124,Scherpenzeel!$C$210:$C$309,0)),""),IF(IFERROR(INDEX('4'!$F$210:$F$309,MATCH($A124,'4'!$C$210:$C$309,0)),"")&lt;&gt;"",IFERROR(INDEX('4'!$F$210:$F$309,MATCH($A124,'4'!$C$210:$C$309,0)),""),IFERROR(INDEX('5'!$F$210:$F$309,MATCH($A124,'5'!$C$210:$C$309,0)),"")))))</f>
        <v/>
      </c>
      <c r="C124" s="24" t="str">
        <f>""</f>
        <v/>
      </c>
      <c r="D124" s="15">
        <f>0</f>
        <v>0</v>
      </c>
      <c r="E124" s="24" t="str">
        <f>IF($A124="","",IFERROR(INDEX(Baarn!$A$43:$A$129,MATCH($A124,Baarn!$C$43:$C$129,0)),""))</f>
        <v/>
      </c>
      <c r="F124" s="15">
        <f>IF($A124="",0,IFERROR(INDEX(Baarn!$I$43:$I$129,MATCH($A124,Baarn!$C$43:$C$129,0)),0))</f>
        <v>0</v>
      </c>
      <c r="G124" s="24" t="str">
        <f>IF($A124="","",IFERROR(INDEX(Scherpenzeel!$A$210:$A$309,MATCH($A124,Scherpenzeel!$C$210:$C$309,0)),""))</f>
        <v/>
      </c>
      <c r="H124" s="15">
        <f>IF($A124="",0,IFERROR(INDEX(Scherpenzeel!$I$210:$I$309,MATCH($A124,Scherpenzeel!$C$210:$C$309,0)),0))</f>
        <v>0</v>
      </c>
      <c r="I124" s="24" t="str">
        <f>IF($A124="","",IFERROR(INDEX('4'!$A$210:$A$309,MATCH($A124,'4'!$C$210:$C$309,0)),""))</f>
        <v/>
      </c>
      <c r="J124" s="15">
        <f>IF($A124="",0,IFERROR(INDEX('4'!$I$210:$I$309,MATCH($A124,'4'!$C$210:$C$309,0)),0))</f>
        <v>0</v>
      </c>
      <c r="K124" s="24" t="str">
        <f>IF($A124="","",IFERROR(INDEX('5'!$A$210:$A$309,MATCH($A124,'5'!$C$210:$C$309,0)),""))</f>
        <v/>
      </c>
      <c r="L124" s="15">
        <f>IF($A124="",0,IFERROR(INDEX('5'!$I$210:$I$309,MATCH($A124,'5'!$C$210:$C$309,0)),0))</f>
        <v>0</v>
      </c>
      <c r="M124" s="25" t="str">
        <f>IF($A124="","",D124+F124+H124+J124+L124)</f>
        <v/>
      </c>
      <c r="N124" s="26" t="str">
        <f>IF(OR($A124="",M124="",M124=0),"",RANK(M124,$M$4:$M$203,0))</f>
        <v/>
      </c>
      <c r="AA124">
        <f>Scherpenzeel!C246</f>
        <v>0</v>
      </c>
      <c r="AB124">
        <f>IF(AA124="",0,IF(COUNTIF($AA$1:AA124,AA124)=1,1,0))</f>
        <v>0</v>
      </c>
      <c r="AC124" t="str">
        <f>IF(AB124=1,COUNTIF($AB$1:AB124,1),"")</f>
        <v/>
      </c>
    </row>
    <row r="125" spans="1:29" x14ac:dyDescent="0.25">
      <c r="A125" s="13" t="str">
        <f>IFERROR(INDEX($AA$1:$AA$387,MATCH(122,$AC$1:$AC$387,0)),"")</f>
        <v/>
      </c>
      <c r="B125" s="13" t="str">
        <f>IF($A125="","",IF(IFERROR(INDEX(Baarn!$F$43:$F$129,MATCH($A125,Baarn!$C$43:$C$129,0)),"")&lt;&gt;"",IFERROR(INDEX(Baarn!$F$43:$F$129,MATCH($A125,Baarn!$C$43:$C$129,0)),""),IF(IFERROR(INDEX(Scherpenzeel!$F$210:$F$309,MATCH($A125,Scherpenzeel!$C$210:$C$309,0)),"")&lt;&gt;"",IFERROR(INDEX(Scherpenzeel!$F$210:$F$309,MATCH($A125,Scherpenzeel!$C$210:$C$309,0)),""),IF(IFERROR(INDEX('4'!$F$210:$F$309,MATCH($A125,'4'!$C$210:$C$309,0)),"")&lt;&gt;"",IFERROR(INDEX('4'!$F$210:$F$309,MATCH($A125,'4'!$C$210:$C$309,0)),""),IFERROR(INDEX('5'!$F$210:$F$309,MATCH($A125,'5'!$C$210:$C$309,0)),"")))))</f>
        <v/>
      </c>
      <c r="C125" s="24" t="str">
        <f>""</f>
        <v/>
      </c>
      <c r="D125" s="15">
        <f>0</f>
        <v>0</v>
      </c>
      <c r="E125" s="24" t="str">
        <f>IF($A125="","",IFERROR(INDEX(Baarn!$A$43:$A$129,MATCH($A125,Baarn!$C$43:$C$129,0)),""))</f>
        <v/>
      </c>
      <c r="F125" s="15">
        <f>IF($A125="",0,IFERROR(INDEX(Baarn!$I$43:$I$129,MATCH($A125,Baarn!$C$43:$C$129,0)),0))</f>
        <v>0</v>
      </c>
      <c r="G125" s="24" t="str">
        <f>IF($A125="","",IFERROR(INDEX(Scherpenzeel!$A$210:$A$309,MATCH($A125,Scherpenzeel!$C$210:$C$309,0)),""))</f>
        <v/>
      </c>
      <c r="H125" s="15">
        <f>IF($A125="",0,IFERROR(INDEX(Scherpenzeel!$I$210:$I$309,MATCH($A125,Scherpenzeel!$C$210:$C$309,0)),0))</f>
        <v>0</v>
      </c>
      <c r="I125" s="24" t="str">
        <f>IF($A125="","",IFERROR(INDEX('4'!$A$210:$A$309,MATCH($A125,'4'!$C$210:$C$309,0)),""))</f>
        <v/>
      </c>
      <c r="J125" s="15">
        <f>IF($A125="",0,IFERROR(INDEX('4'!$I$210:$I$309,MATCH($A125,'4'!$C$210:$C$309,0)),0))</f>
        <v>0</v>
      </c>
      <c r="K125" s="24" t="str">
        <f>IF($A125="","",IFERROR(INDEX('5'!$A$210:$A$309,MATCH($A125,'5'!$C$210:$C$309,0)),""))</f>
        <v/>
      </c>
      <c r="L125" s="15">
        <f>IF($A125="",0,IFERROR(INDEX('5'!$I$210:$I$309,MATCH($A125,'5'!$C$210:$C$309,0)),0))</f>
        <v>0</v>
      </c>
      <c r="M125" s="25" t="str">
        <f>IF($A125="","",D125+F125+H125+J125+L125)</f>
        <v/>
      </c>
      <c r="N125" s="26" t="str">
        <f>IF(OR($A125="",M125="",M125=0),"",RANK(M125,$M$4:$M$203,0))</f>
        <v/>
      </c>
      <c r="AA125">
        <f>Scherpenzeel!C247</f>
        <v>0</v>
      </c>
      <c r="AB125">
        <f>IF(AA125="",0,IF(COUNTIF($AA$1:AA125,AA125)=1,1,0))</f>
        <v>0</v>
      </c>
      <c r="AC125" t="str">
        <f>IF(AB125=1,COUNTIF($AB$1:AB125,1),"")</f>
        <v/>
      </c>
    </row>
    <row r="126" spans="1:29" x14ac:dyDescent="0.25">
      <c r="A126" s="13" t="str">
        <f>IFERROR(INDEX($AA$1:$AA$387,MATCH(123,$AC$1:$AC$387,0)),"")</f>
        <v/>
      </c>
      <c r="B126" s="13" t="str">
        <f>IF($A126="","",IF(IFERROR(INDEX(Baarn!$F$43:$F$129,MATCH($A126,Baarn!$C$43:$C$129,0)),"")&lt;&gt;"",IFERROR(INDEX(Baarn!$F$43:$F$129,MATCH($A126,Baarn!$C$43:$C$129,0)),""),IF(IFERROR(INDEX(Scherpenzeel!$F$210:$F$309,MATCH($A126,Scherpenzeel!$C$210:$C$309,0)),"")&lt;&gt;"",IFERROR(INDEX(Scherpenzeel!$F$210:$F$309,MATCH($A126,Scherpenzeel!$C$210:$C$309,0)),""),IF(IFERROR(INDEX('4'!$F$210:$F$309,MATCH($A126,'4'!$C$210:$C$309,0)),"")&lt;&gt;"",IFERROR(INDEX('4'!$F$210:$F$309,MATCH($A126,'4'!$C$210:$C$309,0)),""),IFERROR(INDEX('5'!$F$210:$F$309,MATCH($A126,'5'!$C$210:$C$309,0)),"")))))</f>
        <v/>
      </c>
      <c r="C126" s="24" t="str">
        <f>""</f>
        <v/>
      </c>
      <c r="D126" s="15">
        <f>0</f>
        <v>0</v>
      </c>
      <c r="E126" s="24" t="str">
        <f>IF($A126="","",IFERROR(INDEX(Baarn!$A$43:$A$129,MATCH($A126,Baarn!$C$43:$C$129,0)),""))</f>
        <v/>
      </c>
      <c r="F126" s="15">
        <f>IF($A126="",0,IFERROR(INDEX(Baarn!$I$43:$I$129,MATCH($A126,Baarn!$C$43:$C$129,0)),0))</f>
        <v>0</v>
      </c>
      <c r="G126" s="24" t="str">
        <f>IF($A126="","",IFERROR(INDEX(Scherpenzeel!$A$210:$A$309,MATCH($A126,Scherpenzeel!$C$210:$C$309,0)),""))</f>
        <v/>
      </c>
      <c r="H126" s="15">
        <f>IF($A126="",0,IFERROR(INDEX(Scherpenzeel!$I$210:$I$309,MATCH($A126,Scherpenzeel!$C$210:$C$309,0)),0))</f>
        <v>0</v>
      </c>
      <c r="I126" s="24" t="str">
        <f>IF($A126="","",IFERROR(INDEX('4'!$A$210:$A$309,MATCH($A126,'4'!$C$210:$C$309,0)),""))</f>
        <v/>
      </c>
      <c r="J126" s="15">
        <f>IF($A126="",0,IFERROR(INDEX('4'!$I$210:$I$309,MATCH($A126,'4'!$C$210:$C$309,0)),0))</f>
        <v>0</v>
      </c>
      <c r="K126" s="24" t="str">
        <f>IF($A126="","",IFERROR(INDEX('5'!$A$210:$A$309,MATCH($A126,'5'!$C$210:$C$309,0)),""))</f>
        <v/>
      </c>
      <c r="L126" s="15">
        <f>IF($A126="",0,IFERROR(INDEX('5'!$I$210:$I$309,MATCH($A126,'5'!$C$210:$C$309,0)),0))</f>
        <v>0</v>
      </c>
      <c r="M126" s="25" t="str">
        <f>IF($A126="","",D126+F126+H126+J126+L126)</f>
        <v/>
      </c>
      <c r="N126" s="26" t="str">
        <f>IF(OR($A126="",M126="",M126=0),"",RANK(M126,$M$4:$M$203,0))</f>
        <v/>
      </c>
      <c r="AA126">
        <f>Scherpenzeel!C248</f>
        <v>0</v>
      </c>
      <c r="AB126">
        <f>IF(AA126="",0,IF(COUNTIF($AA$1:AA126,AA126)=1,1,0))</f>
        <v>0</v>
      </c>
      <c r="AC126" t="str">
        <f>IF(AB126=1,COUNTIF($AB$1:AB126,1),"")</f>
        <v/>
      </c>
    </row>
    <row r="127" spans="1:29" x14ac:dyDescent="0.25">
      <c r="A127" s="13" t="str">
        <f>IFERROR(INDEX($AA$1:$AA$387,MATCH(124,$AC$1:$AC$387,0)),"")</f>
        <v/>
      </c>
      <c r="B127" s="13" t="str">
        <f>IF($A127="","",IF(IFERROR(INDEX(Baarn!$F$43:$F$129,MATCH($A127,Baarn!$C$43:$C$129,0)),"")&lt;&gt;"",IFERROR(INDEX(Baarn!$F$43:$F$129,MATCH($A127,Baarn!$C$43:$C$129,0)),""),IF(IFERROR(INDEX(Scherpenzeel!$F$210:$F$309,MATCH($A127,Scherpenzeel!$C$210:$C$309,0)),"")&lt;&gt;"",IFERROR(INDEX(Scherpenzeel!$F$210:$F$309,MATCH($A127,Scherpenzeel!$C$210:$C$309,0)),""),IF(IFERROR(INDEX('4'!$F$210:$F$309,MATCH($A127,'4'!$C$210:$C$309,0)),"")&lt;&gt;"",IFERROR(INDEX('4'!$F$210:$F$309,MATCH($A127,'4'!$C$210:$C$309,0)),""),IFERROR(INDEX('5'!$F$210:$F$309,MATCH($A127,'5'!$C$210:$C$309,0)),"")))))</f>
        <v/>
      </c>
      <c r="C127" s="24" t="str">
        <f>""</f>
        <v/>
      </c>
      <c r="D127" s="15">
        <f>0</f>
        <v>0</v>
      </c>
      <c r="E127" s="24" t="str">
        <f>IF($A127="","",IFERROR(INDEX(Baarn!$A$43:$A$129,MATCH($A127,Baarn!$C$43:$C$129,0)),""))</f>
        <v/>
      </c>
      <c r="F127" s="15">
        <f>IF($A127="",0,IFERROR(INDEX(Baarn!$I$43:$I$129,MATCH($A127,Baarn!$C$43:$C$129,0)),0))</f>
        <v>0</v>
      </c>
      <c r="G127" s="24" t="str">
        <f>IF($A127="","",IFERROR(INDEX(Scherpenzeel!$A$210:$A$309,MATCH($A127,Scherpenzeel!$C$210:$C$309,0)),""))</f>
        <v/>
      </c>
      <c r="H127" s="15">
        <f>IF($A127="",0,IFERROR(INDEX(Scherpenzeel!$I$210:$I$309,MATCH($A127,Scherpenzeel!$C$210:$C$309,0)),0))</f>
        <v>0</v>
      </c>
      <c r="I127" s="24" t="str">
        <f>IF($A127="","",IFERROR(INDEX('4'!$A$210:$A$309,MATCH($A127,'4'!$C$210:$C$309,0)),""))</f>
        <v/>
      </c>
      <c r="J127" s="15">
        <f>IF($A127="",0,IFERROR(INDEX('4'!$I$210:$I$309,MATCH($A127,'4'!$C$210:$C$309,0)),0))</f>
        <v>0</v>
      </c>
      <c r="K127" s="24" t="str">
        <f>IF($A127="","",IFERROR(INDEX('5'!$A$210:$A$309,MATCH($A127,'5'!$C$210:$C$309,0)),""))</f>
        <v/>
      </c>
      <c r="L127" s="15">
        <f>IF($A127="",0,IFERROR(INDEX('5'!$I$210:$I$309,MATCH($A127,'5'!$C$210:$C$309,0)),0))</f>
        <v>0</v>
      </c>
      <c r="M127" s="25" t="str">
        <f>IF($A127="","",D127+F127+H127+J127+L127)</f>
        <v/>
      </c>
      <c r="N127" s="26" t="str">
        <f>IF(OR($A127="",M127="",M127=0),"",RANK(M127,$M$4:$M$203,0))</f>
        <v/>
      </c>
      <c r="AA127">
        <f>Scherpenzeel!C249</f>
        <v>0</v>
      </c>
      <c r="AB127">
        <f>IF(AA127="",0,IF(COUNTIF($AA$1:AA127,AA127)=1,1,0))</f>
        <v>0</v>
      </c>
      <c r="AC127" t="str">
        <f>IF(AB127=1,COUNTIF($AB$1:AB127,1),"")</f>
        <v/>
      </c>
    </row>
    <row r="128" spans="1:29" x14ac:dyDescent="0.25">
      <c r="A128" s="13" t="str">
        <f>IFERROR(INDEX($AA$1:$AA$387,MATCH(125,$AC$1:$AC$387,0)),"")</f>
        <v/>
      </c>
      <c r="B128" s="13" t="str">
        <f>IF($A128="","",IF(IFERROR(INDEX(Baarn!$F$43:$F$129,MATCH($A128,Baarn!$C$43:$C$129,0)),"")&lt;&gt;"",IFERROR(INDEX(Baarn!$F$43:$F$129,MATCH($A128,Baarn!$C$43:$C$129,0)),""),IF(IFERROR(INDEX(Scherpenzeel!$F$210:$F$309,MATCH($A128,Scherpenzeel!$C$210:$C$309,0)),"")&lt;&gt;"",IFERROR(INDEX(Scherpenzeel!$F$210:$F$309,MATCH($A128,Scherpenzeel!$C$210:$C$309,0)),""),IF(IFERROR(INDEX('4'!$F$210:$F$309,MATCH($A128,'4'!$C$210:$C$309,0)),"")&lt;&gt;"",IFERROR(INDEX('4'!$F$210:$F$309,MATCH($A128,'4'!$C$210:$C$309,0)),""),IFERROR(INDEX('5'!$F$210:$F$309,MATCH($A128,'5'!$C$210:$C$309,0)),"")))))</f>
        <v/>
      </c>
      <c r="C128" s="24" t="str">
        <f>""</f>
        <v/>
      </c>
      <c r="D128" s="15">
        <f>0</f>
        <v>0</v>
      </c>
      <c r="E128" s="24" t="str">
        <f>IF($A128="","",IFERROR(INDEX(Baarn!$A$43:$A$129,MATCH($A128,Baarn!$C$43:$C$129,0)),""))</f>
        <v/>
      </c>
      <c r="F128" s="15">
        <f>IF($A128="",0,IFERROR(INDEX(Baarn!$I$43:$I$129,MATCH($A128,Baarn!$C$43:$C$129,0)),0))</f>
        <v>0</v>
      </c>
      <c r="G128" s="24" t="str">
        <f>IF($A128="","",IFERROR(INDEX(Scherpenzeel!$A$210:$A$309,MATCH($A128,Scherpenzeel!$C$210:$C$309,0)),""))</f>
        <v/>
      </c>
      <c r="H128" s="15">
        <f>IF($A128="",0,IFERROR(INDEX(Scherpenzeel!$I$210:$I$309,MATCH($A128,Scherpenzeel!$C$210:$C$309,0)),0))</f>
        <v>0</v>
      </c>
      <c r="I128" s="24" t="str">
        <f>IF($A128="","",IFERROR(INDEX('4'!$A$210:$A$309,MATCH($A128,'4'!$C$210:$C$309,0)),""))</f>
        <v/>
      </c>
      <c r="J128" s="15">
        <f>IF($A128="",0,IFERROR(INDEX('4'!$I$210:$I$309,MATCH($A128,'4'!$C$210:$C$309,0)),0))</f>
        <v>0</v>
      </c>
      <c r="K128" s="24" t="str">
        <f>IF($A128="","",IFERROR(INDEX('5'!$A$210:$A$309,MATCH($A128,'5'!$C$210:$C$309,0)),""))</f>
        <v/>
      </c>
      <c r="L128" s="15">
        <f>IF($A128="",0,IFERROR(INDEX('5'!$I$210:$I$309,MATCH($A128,'5'!$C$210:$C$309,0)),0))</f>
        <v>0</v>
      </c>
      <c r="M128" s="25" t="str">
        <f>IF($A128="","",D128+F128+H128+J128+L128)</f>
        <v/>
      </c>
      <c r="N128" s="26" t="str">
        <f>IF(OR($A128="",M128="",M128=0),"",RANK(M128,$M$4:$M$203,0))</f>
        <v/>
      </c>
      <c r="AA128">
        <f>Scherpenzeel!C250</f>
        <v>0</v>
      </c>
      <c r="AB128">
        <f>IF(AA128="",0,IF(COUNTIF($AA$1:AA128,AA128)=1,1,0))</f>
        <v>0</v>
      </c>
      <c r="AC128" t="str">
        <f>IF(AB128=1,COUNTIF($AB$1:AB128,1),"")</f>
        <v/>
      </c>
    </row>
    <row r="129" spans="1:29" x14ac:dyDescent="0.25">
      <c r="A129" s="13" t="str">
        <f>IFERROR(INDEX($AA$1:$AA$387,MATCH(126,$AC$1:$AC$387,0)),"")</f>
        <v/>
      </c>
      <c r="B129" s="13" t="str">
        <f>IF($A129="","",IF(IFERROR(INDEX(Baarn!$F$43:$F$129,MATCH($A129,Baarn!$C$43:$C$129,0)),"")&lt;&gt;"",IFERROR(INDEX(Baarn!$F$43:$F$129,MATCH($A129,Baarn!$C$43:$C$129,0)),""),IF(IFERROR(INDEX(Scherpenzeel!$F$210:$F$309,MATCH($A129,Scherpenzeel!$C$210:$C$309,0)),"")&lt;&gt;"",IFERROR(INDEX(Scherpenzeel!$F$210:$F$309,MATCH($A129,Scherpenzeel!$C$210:$C$309,0)),""),IF(IFERROR(INDEX('4'!$F$210:$F$309,MATCH($A129,'4'!$C$210:$C$309,0)),"")&lt;&gt;"",IFERROR(INDEX('4'!$F$210:$F$309,MATCH($A129,'4'!$C$210:$C$309,0)),""),IFERROR(INDEX('5'!$F$210:$F$309,MATCH($A129,'5'!$C$210:$C$309,0)),"")))))</f>
        <v/>
      </c>
      <c r="C129" s="24" t="str">
        <f>""</f>
        <v/>
      </c>
      <c r="D129" s="15">
        <f>0</f>
        <v>0</v>
      </c>
      <c r="E129" s="24" t="str">
        <f>IF($A129="","",IFERROR(INDEX(Baarn!$A$43:$A$129,MATCH($A129,Baarn!$C$43:$C$129,0)),""))</f>
        <v/>
      </c>
      <c r="F129" s="15">
        <f>IF($A129="",0,IFERROR(INDEX(Baarn!$I$43:$I$129,MATCH($A129,Baarn!$C$43:$C$129,0)),0))</f>
        <v>0</v>
      </c>
      <c r="G129" s="24" t="str">
        <f>IF($A129="","",IFERROR(INDEX(Scherpenzeel!$A$210:$A$309,MATCH($A129,Scherpenzeel!$C$210:$C$309,0)),""))</f>
        <v/>
      </c>
      <c r="H129" s="15">
        <f>IF($A129="",0,IFERROR(INDEX(Scherpenzeel!$I$210:$I$309,MATCH($A129,Scherpenzeel!$C$210:$C$309,0)),0))</f>
        <v>0</v>
      </c>
      <c r="I129" s="24" t="str">
        <f>IF($A129="","",IFERROR(INDEX('4'!$A$210:$A$309,MATCH($A129,'4'!$C$210:$C$309,0)),""))</f>
        <v/>
      </c>
      <c r="J129" s="15">
        <f>IF($A129="",0,IFERROR(INDEX('4'!$I$210:$I$309,MATCH($A129,'4'!$C$210:$C$309,0)),0))</f>
        <v>0</v>
      </c>
      <c r="K129" s="24" t="str">
        <f>IF($A129="","",IFERROR(INDEX('5'!$A$210:$A$309,MATCH($A129,'5'!$C$210:$C$309,0)),""))</f>
        <v/>
      </c>
      <c r="L129" s="15">
        <f>IF($A129="",0,IFERROR(INDEX('5'!$I$210:$I$309,MATCH($A129,'5'!$C$210:$C$309,0)),0))</f>
        <v>0</v>
      </c>
      <c r="M129" s="25" t="str">
        <f>IF($A129="","",D129+F129+H129+J129+L129)</f>
        <v/>
      </c>
      <c r="N129" s="26" t="str">
        <f>IF(OR($A129="",M129="",M129=0),"",RANK(M129,$M$4:$M$203,0))</f>
        <v/>
      </c>
      <c r="AA129">
        <f>Scherpenzeel!C251</f>
        <v>0</v>
      </c>
      <c r="AB129">
        <f>IF(AA129="",0,IF(COUNTIF($AA$1:AA129,AA129)=1,1,0))</f>
        <v>0</v>
      </c>
      <c r="AC129" t="str">
        <f>IF(AB129=1,COUNTIF($AB$1:AB129,1),"")</f>
        <v/>
      </c>
    </row>
    <row r="130" spans="1:29" x14ac:dyDescent="0.25">
      <c r="A130" s="13" t="str">
        <f>IFERROR(INDEX($AA$1:$AA$387,MATCH(127,$AC$1:$AC$387,0)),"")</f>
        <v/>
      </c>
      <c r="B130" s="13" t="str">
        <f>IF($A130="","",IF(IFERROR(INDEX(Baarn!$F$43:$F$129,MATCH($A130,Baarn!$C$43:$C$129,0)),"")&lt;&gt;"",IFERROR(INDEX(Baarn!$F$43:$F$129,MATCH($A130,Baarn!$C$43:$C$129,0)),""),IF(IFERROR(INDEX(Scherpenzeel!$F$210:$F$309,MATCH($A130,Scherpenzeel!$C$210:$C$309,0)),"")&lt;&gt;"",IFERROR(INDEX(Scherpenzeel!$F$210:$F$309,MATCH($A130,Scherpenzeel!$C$210:$C$309,0)),""),IF(IFERROR(INDEX('4'!$F$210:$F$309,MATCH($A130,'4'!$C$210:$C$309,0)),"")&lt;&gt;"",IFERROR(INDEX('4'!$F$210:$F$309,MATCH($A130,'4'!$C$210:$C$309,0)),""),IFERROR(INDEX('5'!$F$210:$F$309,MATCH($A130,'5'!$C$210:$C$309,0)),"")))))</f>
        <v/>
      </c>
      <c r="C130" s="24" t="str">
        <f>""</f>
        <v/>
      </c>
      <c r="D130" s="15">
        <f>0</f>
        <v>0</v>
      </c>
      <c r="E130" s="24" t="str">
        <f>IF($A130="","",IFERROR(INDEX(Baarn!$A$43:$A$129,MATCH($A130,Baarn!$C$43:$C$129,0)),""))</f>
        <v/>
      </c>
      <c r="F130" s="15">
        <f>IF($A130="",0,IFERROR(INDEX(Baarn!$I$43:$I$129,MATCH($A130,Baarn!$C$43:$C$129,0)),0))</f>
        <v>0</v>
      </c>
      <c r="G130" s="24" t="str">
        <f>IF($A130="","",IFERROR(INDEX(Scherpenzeel!$A$210:$A$309,MATCH($A130,Scherpenzeel!$C$210:$C$309,0)),""))</f>
        <v/>
      </c>
      <c r="H130" s="15">
        <f>IF($A130="",0,IFERROR(INDEX(Scherpenzeel!$I$210:$I$309,MATCH($A130,Scherpenzeel!$C$210:$C$309,0)),0))</f>
        <v>0</v>
      </c>
      <c r="I130" s="24" t="str">
        <f>IF($A130="","",IFERROR(INDEX('4'!$A$210:$A$309,MATCH($A130,'4'!$C$210:$C$309,0)),""))</f>
        <v/>
      </c>
      <c r="J130" s="15">
        <f>IF($A130="",0,IFERROR(INDEX('4'!$I$210:$I$309,MATCH($A130,'4'!$C$210:$C$309,0)),0))</f>
        <v>0</v>
      </c>
      <c r="K130" s="24" t="str">
        <f>IF($A130="","",IFERROR(INDEX('5'!$A$210:$A$309,MATCH($A130,'5'!$C$210:$C$309,0)),""))</f>
        <v/>
      </c>
      <c r="L130" s="15">
        <f>IF($A130="",0,IFERROR(INDEX('5'!$I$210:$I$309,MATCH($A130,'5'!$C$210:$C$309,0)),0))</f>
        <v>0</v>
      </c>
      <c r="M130" s="25" t="str">
        <f>IF($A130="","",D130+F130+H130+J130+L130)</f>
        <v/>
      </c>
      <c r="N130" s="26" t="str">
        <f>IF(OR($A130="",M130="",M130=0),"",RANK(M130,$M$4:$M$203,0))</f>
        <v/>
      </c>
      <c r="AA130">
        <f>Scherpenzeel!C252</f>
        <v>0</v>
      </c>
      <c r="AB130">
        <f>IF(AA130="",0,IF(COUNTIF($AA$1:AA130,AA130)=1,1,0))</f>
        <v>0</v>
      </c>
      <c r="AC130" t="str">
        <f>IF(AB130=1,COUNTIF($AB$1:AB130,1),"")</f>
        <v/>
      </c>
    </row>
    <row r="131" spans="1:29" x14ac:dyDescent="0.25">
      <c r="A131" s="13" t="str">
        <f>IFERROR(INDEX($AA$1:$AA$387,MATCH(128,$AC$1:$AC$387,0)),"")</f>
        <v/>
      </c>
      <c r="B131" s="13" t="str">
        <f>IF($A131="","",IF(IFERROR(INDEX(Baarn!$F$43:$F$129,MATCH($A131,Baarn!$C$43:$C$129,0)),"")&lt;&gt;"",IFERROR(INDEX(Baarn!$F$43:$F$129,MATCH($A131,Baarn!$C$43:$C$129,0)),""),IF(IFERROR(INDEX(Scherpenzeel!$F$210:$F$309,MATCH($A131,Scherpenzeel!$C$210:$C$309,0)),"")&lt;&gt;"",IFERROR(INDEX(Scherpenzeel!$F$210:$F$309,MATCH($A131,Scherpenzeel!$C$210:$C$309,0)),""),IF(IFERROR(INDEX('4'!$F$210:$F$309,MATCH($A131,'4'!$C$210:$C$309,0)),"")&lt;&gt;"",IFERROR(INDEX('4'!$F$210:$F$309,MATCH($A131,'4'!$C$210:$C$309,0)),""),IFERROR(INDEX('5'!$F$210:$F$309,MATCH($A131,'5'!$C$210:$C$309,0)),"")))))</f>
        <v/>
      </c>
      <c r="C131" s="24" t="str">
        <f>""</f>
        <v/>
      </c>
      <c r="D131" s="15">
        <f>0</f>
        <v>0</v>
      </c>
      <c r="E131" s="24" t="str">
        <f>IF($A131="","",IFERROR(INDEX(Baarn!$A$43:$A$129,MATCH($A131,Baarn!$C$43:$C$129,0)),""))</f>
        <v/>
      </c>
      <c r="F131" s="15">
        <f>IF($A131="",0,IFERROR(INDEX(Baarn!$I$43:$I$129,MATCH($A131,Baarn!$C$43:$C$129,0)),0))</f>
        <v>0</v>
      </c>
      <c r="G131" s="24" t="str">
        <f>IF($A131="","",IFERROR(INDEX(Scherpenzeel!$A$210:$A$309,MATCH($A131,Scherpenzeel!$C$210:$C$309,0)),""))</f>
        <v/>
      </c>
      <c r="H131" s="15">
        <f>IF($A131="",0,IFERROR(INDEX(Scherpenzeel!$I$210:$I$309,MATCH($A131,Scherpenzeel!$C$210:$C$309,0)),0))</f>
        <v>0</v>
      </c>
      <c r="I131" s="24" t="str">
        <f>IF($A131="","",IFERROR(INDEX('4'!$A$210:$A$309,MATCH($A131,'4'!$C$210:$C$309,0)),""))</f>
        <v/>
      </c>
      <c r="J131" s="15">
        <f>IF($A131="",0,IFERROR(INDEX('4'!$I$210:$I$309,MATCH($A131,'4'!$C$210:$C$309,0)),0))</f>
        <v>0</v>
      </c>
      <c r="K131" s="24" t="str">
        <f>IF($A131="","",IFERROR(INDEX('5'!$A$210:$A$309,MATCH($A131,'5'!$C$210:$C$309,0)),""))</f>
        <v/>
      </c>
      <c r="L131" s="15">
        <f>IF($A131="",0,IFERROR(INDEX('5'!$I$210:$I$309,MATCH($A131,'5'!$C$210:$C$309,0)),0))</f>
        <v>0</v>
      </c>
      <c r="M131" s="25" t="str">
        <f>IF($A131="","",D131+F131+H131+J131+L131)</f>
        <v/>
      </c>
      <c r="N131" s="26" t="str">
        <f>IF(OR($A131="",M131="",M131=0),"",RANK(M131,$M$4:$M$203,0))</f>
        <v/>
      </c>
      <c r="AA131">
        <f>Scherpenzeel!C253</f>
        <v>0</v>
      </c>
      <c r="AB131">
        <f>IF(AA131="",0,IF(COUNTIF($AA$1:AA131,AA131)=1,1,0))</f>
        <v>0</v>
      </c>
      <c r="AC131" t="str">
        <f>IF(AB131=1,COUNTIF($AB$1:AB131,1),"")</f>
        <v/>
      </c>
    </row>
    <row r="132" spans="1:29" x14ac:dyDescent="0.25">
      <c r="A132" s="13" t="str">
        <f>IFERROR(INDEX($AA$1:$AA$387,MATCH(129,$AC$1:$AC$387,0)),"")</f>
        <v/>
      </c>
      <c r="B132" s="13" t="str">
        <f>IF($A132="","",IF(IFERROR(INDEX(Baarn!$F$43:$F$129,MATCH($A132,Baarn!$C$43:$C$129,0)),"")&lt;&gt;"",IFERROR(INDEX(Baarn!$F$43:$F$129,MATCH($A132,Baarn!$C$43:$C$129,0)),""),IF(IFERROR(INDEX(Scherpenzeel!$F$210:$F$309,MATCH($A132,Scherpenzeel!$C$210:$C$309,0)),"")&lt;&gt;"",IFERROR(INDEX(Scherpenzeel!$F$210:$F$309,MATCH($A132,Scherpenzeel!$C$210:$C$309,0)),""),IF(IFERROR(INDEX('4'!$F$210:$F$309,MATCH($A132,'4'!$C$210:$C$309,0)),"")&lt;&gt;"",IFERROR(INDEX('4'!$F$210:$F$309,MATCH($A132,'4'!$C$210:$C$309,0)),""),IFERROR(INDEX('5'!$F$210:$F$309,MATCH($A132,'5'!$C$210:$C$309,0)),"")))))</f>
        <v/>
      </c>
      <c r="C132" s="24" t="str">
        <f>""</f>
        <v/>
      </c>
      <c r="D132" s="15">
        <f>0</f>
        <v>0</v>
      </c>
      <c r="E132" s="24" t="str">
        <f>IF($A132="","",IFERROR(INDEX(Baarn!$A$43:$A$129,MATCH($A132,Baarn!$C$43:$C$129,0)),""))</f>
        <v/>
      </c>
      <c r="F132" s="15">
        <f>IF($A132="",0,IFERROR(INDEX(Baarn!$I$43:$I$129,MATCH($A132,Baarn!$C$43:$C$129,0)),0))</f>
        <v>0</v>
      </c>
      <c r="G132" s="24" t="str">
        <f>IF($A132="","",IFERROR(INDEX(Scherpenzeel!$A$210:$A$309,MATCH($A132,Scherpenzeel!$C$210:$C$309,0)),""))</f>
        <v/>
      </c>
      <c r="H132" s="15">
        <f>IF($A132="",0,IFERROR(INDEX(Scherpenzeel!$I$210:$I$309,MATCH($A132,Scherpenzeel!$C$210:$C$309,0)),0))</f>
        <v>0</v>
      </c>
      <c r="I132" s="24" t="str">
        <f>IF($A132="","",IFERROR(INDEX('4'!$A$210:$A$309,MATCH($A132,'4'!$C$210:$C$309,0)),""))</f>
        <v/>
      </c>
      <c r="J132" s="15">
        <f>IF($A132="",0,IFERROR(INDEX('4'!$I$210:$I$309,MATCH($A132,'4'!$C$210:$C$309,0)),0))</f>
        <v>0</v>
      </c>
      <c r="K132" s="24" t="str">
        <f>IF($A132="","",IFERROR(INDEX('5'!$A$210:$A$309,MATCH($A132,'5'!$C$210:$C$309,0)),""))</f>
        <v/>
      </c>
      <c r="L132" s="15">
        <f>IF($A132="",0,IFERROR(INDEX('5'!$I$210:$I$309,MATCH($A132,'5'!$C$210:$C$309,0)),0))</f>
        <v>0</v>
      </c>
      <c r="M132" s="25" t="str">
        <f>IF($A132="","",D132+F132+H132+J132+L132)</f>
        <v/>
      </c>
      <c r="N132" s="26" t="str">
        <f>IF(OR($A132="",M132="",M132=0),"",RANK(M132,$M$4:$M$203,0))</f>
        <v/>
      </c>
      <c r="AA132">
        <f>Scherpenzeel!C254</f>
        <v>0</v>
      </c>
      <c r="AB132">
        <f>IF(AA132="",0,IF(COUNTIF($AA$1:AA132,AA132)=1,1,0))</f>
        <v>0</v>
      </c>
      <c r="AC132" t="str">
        <f>IF(AB132=1,COUNTIF($AB$1:AB132,1),"")</f>
        <v/>
      </c>
    </row>
    <row r="133" spans="1:29" x14ac:dyDescent="0.25">
      <c r="A133" s="13" t="str">
        <f>IFERROR(INDEX($AA$1:$AA$387,MATCH(130,$AC$1:$AC$387,0)),"")</f>
        <v/>
      </c>
      <c r="B133" s="13" t="str">
        <f>IF($A133="","",IF(IFERROR(INDEX(Baarn!$F$43:$F$129,MATCH($A133,Baarn!$C$43:$C$129,0)),"")&lt;&gt;"",IFERROR(INDEX(Baarn!$F$43:$F$129,MATCH($A133,Baarn!$C$43:$C$129,0)),""),IF(IFERROR(INDEX(Scherpenzeel!$F$210:$F$309,MATCH($A133,Scherpenzeel!$C$210:$C$309,0)),"")&lt;&gt;"",IFERROR(INDEX(Scherpenzeel!$F$210:$F$309,MATCH($A133,Scherpenzeel!$C$210:$C$309,0)),""),IF(IFERROR(INDEX('4'!$F$210:$F$309,MATCH($A133,'4'!$C$210:$C$309,0)),"")&lt;&gt;"",IFERROR(INDEX('4'!$F$210:$F$309,MATCH($A133,'4'!$C$210:$C$309,0)),""),IFERROR(INDEX('5'!$F$210:$F$309,MATCH($A133,'5'!$C$210:$C$309,0)),"")))))</f>
        <v/>
      </c>
      <c r="C133" s="24" t="str">
        <f>""</f>
        <v/>
      </c>
      <c r="D133" s="15">
        <f>0</f>
        <v>0</v>
      </c>
      <c r="E133" s="24" t="str">
        <f>IF($A133="","",IFERROR(INDEX(Baarn!$A$43:$A$129,MATCH($A133,Baarn!$C$43:$C$129,0)),""))</f>
        <v/>
      </c>
      <c r="F133" s="15">
        <f>IF($A133="",0,IFERROR(INDEX(Baarn!$I$43:$I$129,MATCH($A133,Baarn!$C$43:$C$129,0)),0))</f>
        <v>0</v>
      </c>
      <c r="G133" s="24" t="str">
        <f>IF($A133="","",IFERROR(INDEX(Scherpenzeel!$A$210:$A$309,MATCH($A133,Scherpenzeel!$C$210:$C$309,0)),""))</f>
        <v/>
      </c>
      <c r="H133" s="15">
        <f>IF($A133="",0,IFERROR(INDEX(Scherpenzeel!$I$210:$I$309,MATCH($A133,Scherpenzeel!$C$210:$C$309,0)),0))</f>
        <v>0</v>
      </c>
      <c r="I133" s="24" t="str">
        <f>IF($A133="","",IFERROR(INDEX('4'!$A$210:$A$309,MATCH($A133,'4'!$C$210:$C$309,0)),""))</f>
        <v/>
      </c>
      <c r="J133" s="15">
        <f>IF($A133="",0,IFERROR(INDEX('4'!$I$210:$I$309,MATCH($A133,'4'!$C$210:$C$309,0)),0))</f>
        <v>0</v>
      </c>
      <c r="K133" s="24" t="str">
        <f>IF($A133="","",IFERROR(INDEX('5'!$A$210:$A$309,MATCH($A133,'5'!$C$210:$C$309,0)),""))</f>
        <v/>
      </c>
      <c r="L133" s="15">
        <f>IF($A133="",0,IFERROR(INDEX('5'!$I$210:$I$309,MATCH($A133,'5'!$C$210:$C$309,0)),0))</f>
        <v>0</v>
      </c>
      <c r="M133" s="25" t="str">
        <f>IF($A133="","",D133+F133+H133+J133+L133)</f>
        <v/>
      </c>
      <c r="N133" s="26" t="str">
        <f>IF(OR($A133="",M133="",M133=0),"",RANK(M133,$M$4:$M$203,0))</f>
        <v/>
      </c>
      <c r="AA133">
        <f>Scherpenzeel!C255</f>
        <v>0</v>
      </c>
      <c r="AB133">
        <f>IF(AA133="",0,IF(COUNTIF($AA$1:AA133,AA133)=1,1,0))</f>
        <v>0</v>
      </c>
      <c r="AC133" t="str">
        <f>IF(AB133=1,COUNTIF($AB$1:AB133,1),"")</f>
        <v/>
      </c>
    </row>
    <row r="134" spans="1:29" x14ac:dyDescent="0.25">
      <c r="A134" s="13" t="str">
        <f>IFERROR(INDEX($AA$1:$AA$387,MATCH(131,$AC$1:$AC$387,0)),"")</f>
        <v/>
      </c>
      <c r="B134" s="13" t="str">
        <f>IF($A134="","",IF(IFERROR(INDEX(Baarn!$F$43:$F$129,MATCH($A134,Baarn!$C$43:$C$129,0)),"")&lt;&gt;"",IFERROR(INDEX(Baarn!$F$43:$F$129,MATCH($A134,Baarn!$C$43:$C$129,0)),""),IF(IFERROR(INDEX(Scherpenzeel!$F$210:$F$309,MATCH($A134,Scherpenzeel!$C$210:$C$309,0)),"")&lt;&gt;"",IFERROR(INDEX(Scherpenzeel!$F$210:$F$309,MATCH($A134,Scherpenzeel!$C$210:$C$309,0)),""),IF(IFERROR(INDEX('4'!$F$210:$F$309,MATCH($A134,'4'!$C$210:$C$309,0)),"")&lt;&gt;"",IFERROR(INDEX('4'!$F$210:$F$309,MATCH($A134,'4'!$C$210:$C$309,0)),""),IFERROR(INDEX('5'!$F$210:$F$309,MATCH($A134,'5'!$C$210:$C$309,0)),"")))))</f>
        <v/>
      </c>
      <c r="C134" s="24" t="str">
        <f>""</f>
        <v/>
      </c>
      <c r="D134" s="15">
        <f>0</f>
        <v>0</v>
      </c>
      <c r="E134" s="24" t="str">
        <f>IF($A134="","",IFERROR(INDEX(Baarn!$A$43:$A$129,MATCH($A134,Baarn!$C$43:$C$129,0)),""))</f>
        <v/>
      </c>
      <c r="F134" s="15">
        <f>IF($A134="",0,IFERROR(INDEX(Baarn!$I$43:$I$129,MATCH($A134,Baarn!$C$43:$C$129,0)),0))</f>
        <v>0</v>
      </c>
      <c r="G134" s="24" t="str">
        <f>IF($A134="","",IFERROR(INDEX(Scherpenzeel!$A$210:$A$309,MATCH($A134,Scherpenzeel!$C$210:$C$309,0)),""))</f>
        <v/>
      </c>
      <c r="H134" s="15">
        <f>IF($A134="",0,IFERROR(INDEX(Scherpenzeel!$I$210:$I$309,MATCH($A134,Scherpenzeel!$C$210:$C$309,0)),0))</f>
        <v>0</v>
      </c>
      <c r="I134" s="24" t="str">
        <f>IF($A134="","",IFERROR(INDEX('4'!$A$210:$A$309,MATCH($A134,'4'!$C$210:$C$309,0)),""))</f>
        <v/>
      </c>
      <c r="J134" s="15">
        <f>IF($A134="",0,IFERROR(INDEX('4'!$I$210:$I$309,MATCH($A134,'4'!$C$210:$C$309,0)),0))</f>
        <v>0</v>
      </c>
      <c r="K134" s="24" t="str">
        <f>IF($A134="","",IFERROR(INDEX('5'!$A$210:$A$309,MATCH($A134,'5'!$C$210:$C$309,0)),""))</f>
        <v/>
      </c>
      <c r="L134" s="15">
        <f>IF($A134="",0,IFERROR(INDEX('5'!$I$210:$I$309,MATCH($A134,'5'!$C$210:$C$309,0)),0))</f>
        <v>0</v>
      </c>
      <c r="M134" s="25" t="str">
        <f>IF($A134="","",D134+F134+H134+J134+L134)</f>
        <v/>
      </c>
      <c r="N134" s="26" t="str">
        <f>IF(OR($A134="",M134="",M134=0),"",RANK(M134,$M$4:$M$203,0))</f>
        <v/>
      </c>
      <c r="AA134">
        <f>Scherpenzeel!C256</f>
        <v>0</v>
      </c>
      <c r="AB134">
        <f>IF(AA134="",0,IF(COUNTIF($AA$1:AA134,AA134)=1,1,0))</f>
        <v>0</v>
      </c>
      <c r="AC134" t="str">
        <f>IF(AB134=1,COUNTIF($AB$1:AB134,1),"")</f>
        <v/>
      </c>
    </row>
    <row r="135" spans="1:29" x14ac:dyDescent="0.25">
      <c r="A135" s="13" t="str">
        <f>IFERROR(INDEX($AA$1:$AA$387,MATCH(132,$AC$1:$AC$387,0)),"")</f>
        <v/>
      </c>
      <c r="B135" s="13" t="str">
        <f>IF($A135="","",IF(IFERROR(INDEX(Baarn!$F$43:$F$129,MATCH($A135,Baarn!$C$43:$C$129,0)),"")&lt;&gt;"",IFERROR(INDEX(Baarn!$F$43:$F$129,MATCH($A135,Baarn!$C$43:$C$129,0)),""),IF(IFERROR(INDEX(Scherpenzeel!$F$210:$F$309,MATCH($A135,Scherpenzeel!$C$210:$C$309,0)),"")&lt;&gt;"",IFERROR(INDEX(Scherpenzeel!$F$210:$F$309,MATCH($A135,Scherpenzeel!$C$210:$C$309,0)),""),IF(IFERROR(INDEX('4'!$F$210:$F$309,MATCH($A135,'4'!$C$210:$C$309,0)),"")&lt;&gt;"",IFERROR(INDEX('4'!$F$210:$F$309,MATCH($A135,'4'!$C$210:$C$309,0)),""),IFERROR(INDEX('5'!$F$210:$F$309,MATCH($A135,'5'!$C$210:$C$309,0)),"")))))</f>
        <v/>
      </c>
      <c r="C135" s="24" t="str">
        <f>""</f>
        <v/>
      </c>
      <c r="D135" s="15">
        <f>0</f>
        <v>0</v>
      </c>
      <c r="E135" s="24" t="str">
        <f>IF($A135="","",IFERROR(INDEX(Baarn!$A$43:$A$129,MATCH($A135,Baarn!$C$43:$C$129,0)),""))</f>
        <v/>
      </c>
      <c r="F135" s="15">
        <f>IF($A135="",0,IFERROR(INDEX(Baarn!$I$43:$I$129,MATCH($A135,Baarn!$C$43:$C$129,0)),0))</f>
        <v>0</v>
      </c>
      <c r="G135" s="24" t="str">
        <f>IF($A135="","",IFERROR(INDEX(Scherpenzeel!$A$210:$A$309,MATCH($A135,Scherpenzeel!$C$210:$C$309,0)),""))</f>
        <v/>
      </c>
      <c r="H135" s="15">
        <f>IF($A135="",0,IFERROR(INDEX(Scherpenzeel!$I$210:$I$309,MATCH($A135,Scherpenzeel!$C$210:$C$309,0)),0))</f>
        <v>0</v>
      </c>
      <c r="I135" s="24" t="str">
        <f>IF($A135="","",IFERROR(INDEX('4'!$A$210:$A$309,MATCH($A135,'4'!$C$210:$C$309,0)),""))</f>
        <v/>
      </c>
      <c r="J135" s="15">
        <f>IF($A135="",0,IFERROR(INDEX('4'!$I$210:$I$309,MATCH($A135,'4'!$C$210:$C$309,0)),0))</f>
        <v>0</v>
      </c>
      <c r="K135" s="24" t="str">
        <f>IF($A135="","",IFERROR(INDEX('5'!$A$210:$A$309,MATCH($A135,'5'!$C$210:$C$309,0)),""))</f>
        <v/>
      </c>
      <c r="L135" s="15">
        <f>IF($A135="",0,IFERROR(INDEX('5'!$I$210:$I$309,MATCH($A135,'5'!$C$210:$C$309,0)),0))</f>
        <v>0</v>
      </c>
      <c r="M135" s="25" t="str">
        <f>IF($A135="","",D135+F135+H135+J135+L135)</f>
        <v/>
      </c>
      <c r="N135" s="26" t="str">
        <f>IF(OR($A135="",M135="",M135=0),"",RANK(M135,$M$4:$M$203,0))</f>
        <v/>
      </c>
      <c r="AA135">
        <f>Scherpenzeel!C257</f>
        <v>0</v>
      </c>
      <c r="AB135">
        <f>IF(AA135="",0,IF(COUNTIF($AA$1:AA135,AA135)=1,1,0))</f>
        <v>0</v>
      </c>
      <c r="AC135" t="str">
        <f>IF(AB135=1,COUNTIF($AB$1:AB135,1),"")</f>
        <v/>
      </c>
    </row>
    <row r="136" spans="1:29" x14ac:dyDescent="0.25">
      <c r="A136" s="13" t="str">
        <f>IFERROR(INDEX($AA$1:$AA$387,MATCH(133,$AC$1:$AC$387,0)),"")</f>
        <v/>
      </c>
      <c r="B136" s="13" t="str">
        <f>IF($A136="","",IF(IFERROR(INDEX(Baarn!$F$43:$F$129,MATCH($A136,Baarn!$C$43:$C$129,0)),"")&lt;&gt;"",IFERROR(INDEX(Baarn!$F$43:$F$129,MATCH($A136,Baarn!$C$43:$C$129,0)),""),IF(IFERROR(INDEX(Scherpenzeel!$F$210:$F$309,MATCH($A136,Scherpenzeel!$C$210:$C$309,0)),"")&lt;&gt;"",IFERROR(INDEX(Scherpenzeel!$F$210:$F$309,MATCH($A136,Scherpenzeel!$C$210:$C$309,0)),""),IF(IFERROR(INDEX('4'!$F$210:$F$309,MATCH($A136,'4'!$C$210:$C$309,0)),"")&lt;&gt;"",IFERROR(INDEX('4'!$F$210:$F$309,MATCH($A136,'4'!$C$210:$C$309,0)),""),IFERROR(INDEX('5'!$F$210:$F$309,MATCH($A136,'5'!$C$210:$C$309,0)),"")))))</f>
        <v/>
      </c>
      <c r="C136" s="24" t="str">
        <f>""</f>
        <v/>
      </c>
      <c r="D136" s="15">
        <f>0</f>
        <v>0</v>
      </c>
      <c r="E136" s="24" t="str">
        <f>IF($A136="","",IFERROR(INDEX(Baarn!$A$43:$A$129,MATCH($A136,Baarn!$C$43:$C$129,0)),""))</f>
        <v/>
      </c>
      <c r="F136" s="15">
        <f>IF($A136="",0,IFERROR(INDEX(Baarn!$I$43:$I$129,MATCH($A136,Baarn!$C$43:$C$129,0)),0))</f>
        <v>0</v>
      </c>
      <c r="G136" s="24" t="str">
        <f>IF($A136="","",IFERROR(INDEX(Scherpenzeel!$A$210:$A$309,MATCH($A136,Scherpenzeel!$C$210:$C$309,0)),""))</f>
        <v/>
      </c>
      <c r="H136" s="15">
        <f>IF($A136="",0,IFERROR(INDEX(Scherpenzeel!$I$210:$I$309,MATCH($A136,Scherpenzeel!$C$210:$C$309,0)),0))</f>
        <v>0</v>
      </c>
      <c r="I136" s="24" t="str">
        <f>IF($A136="","",IFERROR(INDEX('4'!$A$210:$A$309,MATCH($A136,'4'!$C$210:$C$309,0)),""))</f>
        <v/>
      </c>
      <c r="J136" s="15">
        <f>IF($A136="",0,IFERROR(INDEX('4'!$I$210:$I$309,MATCH($A136,'4'!$C$210:$C$309,0)),0))</f>
        <v>0</v>
      </c>
      <c r="K136" s="24" t="str">
        <f>IF($A136="","",IFERROR(INDEX('5'!$A$210:$A$309,MATCH($A136,'5'!$C$210:$C$309,0)),""))</f>
        <v/>
      </c>
      <c r="L136" s="15">
        <f>IF($A136="",0,IFERROR(INDEX('5'!$I$210:$I$309,MATCH($A136,'5'!$C$210:$C$309,0)),0))</f>
        <v>0</v>
      </c>
      <c r="M136" s="25" t="str">
        <f>IF($A136="","",D136+F136+H136+J136+L136)</f>
        <v/>
      </c>
      <c r="N136" s="26" t="str">
        <f>IF(OR($A136="",M136="",M136=0),"",RANK(M136,$M$4:$M$203,0))</f>
        <v/>
      </c>
      <c r="AA136">
        <f>Scherpenzeel!C258</f>
        <v>0</v>
      </c>
      <c r="AB136">
        <f>IF(AA136="",0,IF(COUNTIF($AA$1:AA136,AA136)=1,1,0))</f>
        <v>0</v>
      </c>
      <c r="AC136" t="str">
        <f>IF(AB136=1,COUNTIF($AB$1:AB136,1),"")</f>
        <v/>
      </c>
    </row>
    <row r="137" spans="1:29" x14ac:dyDescent="0.25">
      <c r="A137" s="13" t="str">
        <f>IFERROR(INDEX($AA$1:$AA$387,MATCH(134,$AC$1:$AC$387,0)),"")</f>
        <v/>
      </c>
      <c r="B137" s="13" t="str">
        <f>IF($A137="","",IF(IFERROR(INDEX(Baarn!$F$43:$F$129,MATCH($A137,Baarn!$C$43:$C$129,0)),"")&lt;&gt;"",IFERROR(INDEX(Baarn!$F$43:$F$129,MATCH($A137,Baarn!$C$43:$C$129,0)),""),IF(IFERROR(INDEX(Scherpenzeel!$F$210:$F$309,MATCH($A137,Scherpenzeel!$C$210:$C$309,0)),"")&lt;&gt;"",IFERROR(INDEX(Scherpenzeel!$F$210:$F$309,MATCH($A137,Scherpenzeel!$C$210:$C$309,0)),""),IF(IFERROR(INDEX('4'!$F$210:$F$309,MATCH($A137,'4'!$C$210:$C$309,0)),"")&lt;&gt;"",IFERROR(INDEX('4'!$F$210:$F$309,MATCH($A137,'4'!$C$210:$C$309,0)),""),IFERROR(INDEX('5'!$F$210:$F$309,MATCH($A137,'5'!$C$210:$C$309,0)),"")))))</f>
        <v/>
      </c>
      <c r="C137" s="24" t="str">
        <f>""</f>
        <v/>
      </c>
      <c r="D137" s="15">
        <f>0</f>
        <v>0</v>
      </c>
      <c r="E137" s="24" t="str">
        <f>IF($A137="","",IFERROR(INDEX(Baarn!$A$43:$A$129,MATCH($A137,Baarn!$C$43:$C$129,0)),""))</f>
        <v/>
      </c>
      <c r="F137" s="15">
        <f>IF($A137="",0,IFERROR(INDEX(Baarn!$I$43:$I$129,MATCH($A137,Baarn!$C$43:$C$129,0)),0))</f>
        <v>0</v>
      </c>
      <c r="G137" s="24" t="str">
        <f>IF($A137="","",IFERROR(INDEX(Scherpenzeel!$A$210:$A$309,MATCH($A137,Scherpenzeel!$C$210:$C$309,0)),""))</f>
        <v/>
      </c>
      <c r="H137" s="15">
        <f>IF($A137="",0,IFERROR(INDEX(Scherpenzeel!$I$210:$I$309,MATCH($A137,Scherpenzeel!$C$210:$C$309,0)),0))</f>
        <v>0</v>
      </c>
      <c r="I137" s="24" t="str">
        <f>IF($A137="","",IFERROR(INDEX('4'!$A$210:$A$309,MATCH($A137,'4'!$C$210:$C$309,0)),""))</f>
        <v/>
      </c>
      <c r="J137" s="15">
        <f>IF($A137="",0,IFERROR(INDEX('4'!$I$210:$I$309,MATCH($A137,'4'!$C$210:$C$309,0)),0))</f>
        <v>0</v>
      </c>
      <c r="K137" s="24" t="str">
        <f>IF($A137="","",IFERROR(INDEX('5'!$A$210:$A$309,MATCH($A137,'5'!$C$210:$C$309,0)),""))</f>
        <v/>
      </c>
      <c r="L137" s="15">
        <f>IF($A137="",0,IFERROR(INDEX('5'!$I$210:$I$309,MATCH($A137,'5'!$C$210:$C$309,0)),0))</f>
        <v>0</v>
      </c>
      <c r="M137" s="25" t="str">
        <f>IF($A137="","",D137+F137+H137+J137+L137)</f>
        <v/>
      </c>
      <c r="N137" s="26" t="str">
        <f>IF(OR($A137="",M137="",M137=0),"",RANK(M137,$M$4:$M$203,0))</f>
        <v/>
      </c>
      <c r="AA137">
        <f>Scherpenzeel!C259</f>
        <v>0</v>
      </c>
      <c r="AB137">
        <f>IF(AA137="",0,IF(COUNTIF($AA$1:AA137,AA137)=1,1,0))</f>
        <v>0</v>
      </c>
      <c r="AC137" t="str">
        <f>IF(AB137=1,COUNTIF($AB$1:AB137,1),"")</f>
        <v/>
      </c>
    </row>
    <row r="138" spans="1:29" x14ac:dyDescent="0.25">
      <c r="A138" s="13" t="str">
        <f>IFERROR(INDEX($AA$1:$AA$387,MATCH(135,$AC$1:$AC$387,0)),"")</f>
        <v/>
      </c>
      <c r="B138" s="13" t="str">
        <f>IF($A138="","",IF(IFERROR(INDEX(Baarn!$F$43:$F$129,MATCH($A138,Baarn!$C$43:$C$129,0)),"")&lt;&gt;"",IFERROR(INDEX(Baarn!$F$43:$F$129,MATCH($A138,Baarn!$C$43:$C$129,0)),""),IF(IFERROR(INDEX(Scherpenzeel!$F$210:$F$309,MATCH($A138,Scherpenzeel!$C$210:$C$309,0)),"")&lt;&gt;"",IFERROR(INDEX(Scherpenzeel!$F$210:$F$309,MATCH($A138,Scherpenzeel!$C$210:$C$309,0)),""),IF(IFERROR(INDEX('4'!$F$210:$F$309,MATCH($A138,'4'!$C$210:$C$309,0)),"")&lt;&gt;"",IFERROR(INDEX('4'!$F$210:$F$309,MATCH($A138,'4'!$C$210:$C$309,0)),""),IFERROR(INDEX('5'!$F$210:$F$309,MATCH($A138,'5'!$C$210:$C$309,0)),"")))))</f>
        <v/>
      </c>
      <c r="C138" s="24" t="str">
        <f>""</f>
        <v/>
      </c>
      <c r="D138" s="15">
        <f>0</f>
        <v>0</v>
      </c>
      <c r="E138" s="24" t="str">
        <f>IF($A138="","",IFERROR(INDEX(Baarn!$A$43:$A$129,MATCH($A138,Baarn!$C$43:$C$129,0)),""))</f>
        <v/>
      </c>
      <c r="F138" s="15">
        <f>IF($A138="",0,IFERROR(INDEX(Baarn!$I$43:$I$129,MATCH($A138,Baarn!$C$43:$C$129,0)),0))</f>
        <v>0</v>
      </c>
      <c r="G138" s="24" t="str">
        <f>IF($A138="","",IFERROR(INDEX(Scherpenzeel!$A$210:$A$309,MATCH($A138,Scherpenzeel!$C$210:$C$309,0)),""))</f>
        <v/>
      </c>
      <c r="H138" s="15">
        <f>IF($A138="",0,IFERROR(INDEX(Scherpenzeel!$I$210:$I$309,MATCH($A138,Scherpenzeel!$C$210:$C$309,0)),0))</f>
        <v>0</v>
      </c>
      <c r="I138" s="24" t="str">
        <f>IF($A138="","",IFERROR(INDEX('4'!$A$210:$A$309,MATCH($A138,'4'!$C$210:$C$309,0)),""))</f>
        <v/>
      </c>
      <c r="J138" s="15">
        <f>IF($A138="",0,IFERROR(INDEX('4'!$I$210:$I$309,MATCH($A138,'4'!$C$210:$C$309,0)),0))</f>
        <v>0</v>
      </c>
      <c r="K138" s="24" t="str">
        <f>IF($A138="","",IFERROR(INDEX('5'!$A$210:$A$309,MATCH($A138,'5'!$C$210:$C$309,0)),""))</f>
        <v/>
      </c>
      <c r="L138" s="15">
        <f>IF($A138="",0,IFERROR(INDEX('5'!$I$210:$I$309,MATCH($A138,'5'!$C$210:$C$309,0)),0))</f>
        <v>0</v>
      </c>
      <c r="M138" s="25" t="str">
        <f>IF($A138="","",D138+F138+H138+J138+L138)</f>
        <v/>
      </c>
      <c r="N138" s="26" t="str">
        <f>IF(OR($A138="",M138="",M138=0),"",RANK(M138,$M$4:$M$203,0))</f>
        <v/>
      </c>
      <c r="AA138">
        <f>Scherpenzeel!C260</f>
        <v>0</v>
      </c>
      <c r="AB138">
        <f>IF(AA138="",0,IF(COUNTIF($AA$1:AA138,AA138)=1,1,0))</f>
        <v>0</v>
      </c>
      <c r="AC138" t="str">
        <f>IF(AB138=1,COUNTIF($AB$1:AB138,1),"")</f>
        <v/>
      </c>
    </row>
    <row r="139" spans="1:29" x14ac:dyDescent="0.25">
      <c r="A139" s="13" t="str">
        <f>IFERROR(INDEX($AA$1:$AA$387,MATCH(136,$AC$1:$AC$387,0)),"")</f>
        <v/>
      </c>
      <c r="B139" s="13" t="str">
        <f>IF($A139="","",IF(IFERROR(INDEX(Baarn!$F$43:$F$129,MATCH($A139,Baarn!$C$43:$C$129,0)),"")&lt;&gt;"",IFERROR(INDEX(Baarn!$F$43:$F$129,MATCH($A139,Baarn!$C$43:$C$129,0)),""),IF(IFERROR(INDEX(Scherpenzeel!$F$210:$F$309,MATCH($A139,Scherpenzeel!$C$210:$C$309,0)),"")&lt;&gt;"",IFERROR(INDEX(Scherpenzeel!$F$210:$F$309,MATCH($A139,Scherpenzeel!$C$210:$C$309,0)),""),IF(IFERROR(INDEX('4'!$F$210:$F$309,MATCH($A139,'4'!$C$210:$C$309,0)),"")&lt;&gt;"",IFERROR(INDEX('4'!$F$210:$F$309,MATCH($A139,'4'!$C$210:$C$309,0)),""),IFERROR(INDEX('5'!$F$210:$F$309,MATCH($A139,'5'!$C$210:$C$309,0)),"")))))</f>
        <v/>
      </c>
      <c r="C139" s="24" t="str">
        <f>""</f>
        <v/>
      </c>
      <c r="D139" s="15">
        <f>0</f>
        <v>0</v>
      </c>
      <c r="E139" s="24" t="str">
        <f>IF($A139="","",IFERROR(INDEX(Baarn!$A$43:$A$129,MATCH($A139,Baarn!$C$43:$C$129,0)),""))</f>
        <v/>
      </c>
      <c r="F139" s="15">
        <f>IF($A139="",0,IFERROR(INDEX(Baarn!$I$43:$I$129,MATCH($A139,Baarn!$C$43:$C$129,0)),0))</f>
        <v>0</v>
      </c>
      <c r="G139" s="24" t="str">
        <f>IF($A139="","",IFERROR(INDEX(Scherpenzeel!$A$210:$A$309,MATCH($A139,Scherpenzeel!$C$210:$C$309,0)),""))</f>
        <v/>
      </c>
      <c r="H139" s="15">
        <f>IF($A139="",0,IFERROR(INDEX(Scherpenzeel!$I$210:$I$309,MATCH($A139,Scherpenzeel!$C$210:$C$309,0)),0))</f>
        <v>0</v>
      </c>
      <c r="I139" s="24" t="str">
        <f>IF($A139="","",IFERROR(INDEX('4'!$A$210:$A$309,MATCH($A139,'4'!$C$210:$C$309,0)),""))</f>
        <v/>
      </c>
      <c r="J139" s="15">
        <f>IF($A139="",0,IFERROR(INDEX('4'!$I$210:$I$309,MATCH($A139,'4'!$C$210:$C$309,0)),0))</f>
        <v>0</v>
      </c>
      <c r="K139" s="24" t="str">
        <f>IF($A139="","",IFERROR(INDEX('5'!$A$210:$A$309,MATCH($A139,'5'!$C$210:$C$309,0)),""))</f>
        <v/>
      </c>
      <c r="L139" s="15">
        <f>IF($A139="",0,IFERROR(INDEX('5'!$I$210:$I$309,MATCH($A139,'5'!$C$210:$C$309,0)),0))</f>
        <v>0</v>
      </c>
      <c r="M139" s="25" t="str">
        <f>IF($A139="","",D139+F139+H139+J139+L139)</f>
        <v/>
      </c>
      <c r="N139" s="26" t="str">
        <f>IF(OR($A139="",M139="",M139=0),"",RANK(M139,$M$4:$M$203,0))</f>
        <v/>
      </c>
      <c r="AA139">
        <f>Scherpenzeel!C261</f>
        <v>0</v>
      </c>
      <c r="AB139">
        <f>IF(AA139="",0,IF(COUNTIF($AA$1:AA139,AA139)=1,1,0))</f>
        <v>0</v>
      </c>
      <c r="AC139" t="str">
        <f>IF(AB139=1,COUNTIF($AB$1:AB139,1),"")</f>
        <v/>
      </c>
    </row>
    <row r="140" spans="1:29" x14ac:dyDescent="0.25">
      <c r="A140" s="13" t="str">
        <f>IFERROR(INDEX($AA$1:$AA$387,MATCH(137,$AC$1:$AC$387,0)),"")</f>
        <v/>
      </c>
      <c r="B140" s="13" t="str">
        <f>IF($A140="","",IF(IFERROR(INDEX(Baarn!$F$43:$F$129,MATCH($A140,Baarn!$C$43:$C$129,0)),"")&lt;&gt;"",IFERROR(INDEX(Baarn!$F$43:$F$129,MATCH($A140,Baarn!$C$43:$C$129,0)),""),IF(IFERROR(INDEX(Scherpenzeel!$F$210:$F$309,MATCH($A140,Scherpenzeel!$C$210:$C$309,0)),"")&lt;&gt;"",IFERROR(INDEX(Scherpenzeel!$F$210:$F$309,MATCH($A140,Scherpenzeel!$C$210:$C$309,0)),""),IF(IFERROR(INDEX('4'!$F$210:$F$309,MATCH($A140,'4'!$C$210:$C$309,0)),"")&lt;&gt;"",IFERROR(INDEX('4'!$F$210:$F$309,MATCH($A140,'4'!$C$210:$C$309,0)),""),IFERROR(INDEX('5'!$F$210:$F$309,MATCH($A140,'5'!$C$210:$C$309,0)),"")))))</f>
        <v/>
      </c>
      <c r="C140" s="24" t="str">
        <f>""</f>
        <v/>
      </c>
      <c r="D140" s="15">
        <f>0</f>
        <v>0</v>
      </c>
      <c r="E140" s="24" t="str">
        <f>IF($A140="","",IFERROR(INDEX(Baarn!$A$43:$A$129,MATCH($A140,Baarn!$C$43:$C$129,0)),""))</f>
        <v/>
      </c>
      <c r="F140" s="15">
        <f>IF($A140="",0,IFERROR(INDEX(Baarn!$I$43:$I$129,MATCH($A140,Baarn!$C$43:$C$129,0)),0))</f>
        <v>0</v>
      </c>
      <c r="G140" s="24" t="str">
        <f>IF($A140="","",IFERROR(INDEX(Scherpenzeel!$A$210:$A$309,MATCH($A140,Scherpenzeel!$C$210:$C$309,0)),""))</f>
        <v/>
      </c>
      <c r="H140" s="15">
        <f>IF($A140="",0,IFERROR(INDEX(Scherpenzeel!$I$210:$I$309,MATCH($A140,Scherpenzeel!$C$210:$C$309,0)),0))</f>
        <v>0</v>
      </c>
      <c r="I140" s="24" t="str">
        <f>IF($A140="","",IFERROR(INDEX('4'!$A$210:$A$309,MATCH($A140,'4'!$C$210:$C$309,0)),""))</f>
        <v/>
      </c>
      <c r="J140" s="15">
        <f>IF($A140="",0,IFERROR(INDEX('4'!$I$210:$I$309,MATCH($A140,'4'!$C$210:$C$309,0)),0))</f>
        <v>0</v>
      </c>
      <c r="K140" s="24" t="str">
        <f>IF($A140="","",IFERROR(INDEX('5'!$A$210:$A$309,MATCH($A140,'5'!$C$210:$C$309,0)),""))</f>
        <v/>
      </c>
      <c r="L140" s="15">
        <f>IF($A140="",0,IFERROR(INDEX('5'!$I$210:$I$309,MATCH($A140,'5'!$C$210:$C$309,0)),0))</f>
        <v>0</v>
      </c>
      <c r="M140" s="25" t="str">
        <f>IF($A140="","",D140+F140+H140+J140+L140)</f>
        <v/>
      </c>
      <c r="N140" s="26" t="str">
        <f>IF(OR($A140="",M140="",M140=0),"",RANK(M140,$M$4:$M$203,0))</f>
        <v/>
      </c>
      <c r="AA140">
        <f>Scherpenzeel!C262</f>
        <v>0</v>
      </c>
      <c r="AB140">
        <f>IF(AA140="",0,IF(COUNTIF($AA$1:AA140,AA140)=1,1,0))</f>
        <v>0</v>
      </c>
      <c r="AC140" t="str">
        <f>IF(AB140=1,COUNTIF($AB$1:AB140,1),"")</f>
        <v/>
      </c>
    </row>
    <row r="141" spans="1:29" x14ac:dyDescent="0.25">
      <c r="A141" s="13" t="str">
        <f>IFERROR(INDEX($AA$1:$AA$387,MATCH(138,$AC$1:$AC$387,0)),"")</f>
        <v/>
      </c>
      <c r="B141" s="13" t="str">
        <f>IF($A141="","",IF(IFERROR(INDEX(Baarn!$F$43:$F$129,MATCH($A141,Baarn!$C$43:$C$129,0)),"")&lt;&gt;"",IFERROR(INDEX(Baarn!$F$43:$F$129,MATCH($A141,Baarn!$C$43:$C$129,0)),""),IF(IFERROR(INDEX(Scherpenzeel!$F$210:$F$309,MATCH($A141,Scherpenzeel!$C$210:$C$309,0)),"")&lt;&gt;"",IFERROR(INDEX(Scherpenzeel!$F$210:$F$309,MATCH($A141,Scherpenzeel!$C$210:$C$309,0)),""),IF(IFERROR(INDEX('4'!$F$210:$F$309,MATCH($A141,'4'!$C$210:$C$309,0)),"")&lt;&gt;"",IFERROR(INDEX('4'!$F$210:$F$309,MATCH($A141,'4'!$C$210:$C$309,0)),""),IFERROR(INDEX('5'!$F$210:$F$309,MATCH($A141,'5'!$C$210:$C$309,0)),"")))))</f>
        <v/>
      </c>
      <c r="C141" s="24" t="str">
        <f>""</f>
        <v/>
      </c>
      <c r="D141" s="15">
        <f>0</f>
        <v>0</v>
      </c>
      <c r="E141" s="24" t="str">
        <f>IF($A141="","",IFERROR(INDEX(Baarn!$A$43:$A$129,MATCH($A141,Baarn!$C$43:$C$129,0)),""))</f>
        <v/>
      </c>
      <c r="F141" s="15">
        <f>IF($A141="",0,IFERROR(INDEX(Baarn!$I$43:$I$129,MATCH($A141,Baarn!$C$43:$C$129,0)),0))</f>
        <v>0</v>
      </c>
      <c r="G141" s="24" t="str">
        <f>IF($A141="","",IFERROR(INDEX(Scherpenzeel!$A$210:$A$309,MATCH($A141,Scherpenzeel!$C$210:$C$309,0)),""))</f>
        <v/>
      </c>
      <c r="H141" s="15">
        <f>IF($A141="",0,IFERROR(INDEX(Scherpenzeel!$I$210:$I$309,MATCH($A141,Scherpenzeel!$C$210:$C$309,0)),0))</f>
        <v>0</v>
      </c>
      <c r="I141" s="24" t="str">
        <f>IF($A141="","",IFERROR(INDEX('4'!$A$210:$A$309,MATCH($A141,'4'!$C$210:$C$309,0)),""))</f>
        <v/>
      </c>
      <c r="J141" s="15">
        <f>IF($A141="",0,IFERROR(INDEX('4'!$I$210:$I$309,MATCH($A141,'4'!$C$210:$C$309,0)),0))</f>
        <v>0</v>
      </c>
      <c r="K141" s="24" t="str">
        <f>IF($A141="","",IFERROR(INDEX('5'!$A$210:$A$309,MATCH($A141,'5'!$C$210:$C$309,0)),""))</f>
        <v/>
      </c>
      <c r="L141" s="15">
        <f>IF($A141="",0,IFERROR(INDEX('5'!$I$210:$I$309,MATCH($A141,'5'!$C$210:$C$309,0)),0))</f>
        <v>0</v>
      </c>
      <c r="M141" s="25" t="str">
        <f>IF($A141="","",D141+F141+H141+J141+L141)</f>
        <v/>
      </c>
      <c r="N141" s="26" t="str">
        <f>IF(OR($A141="",M141="",M141=0),"",RANK(M141,$M$4:$M$203,0))</f>
        <v/>
      </c>
      <c r="AA141">
        <f>Scherpenzeel!C263</f>
        <v>0</v>
      </c>
      <c r="AB141">
        <f>IF(AA141="",0,IF(COUNTIF($AA$1:AA141,AA141)=1,1,0))</f>
        <v>0</v>
      </c>
      <c r="AC141" t="str">
        <f>IF(AB141=1,COUNTIF($AB$1:AB141,1),"")</f>
        <v/>
      </c>
    </row>
    <row r="142" spans="1:29" x14ac:dyDescent="0.25">
      <c r="A142" s="13" t="str">
        <f>IFERROR(INDEX($AA$1:$AA$387,MATCH(139,$AC$1:$AC$387,0)),"")</f>
        <v/>
      </c>
      <c r="B142" s="13" t="str">
        <f>IF($A142="","",IF(IFERROR(INDEX(Baarn!$F$43:$F$129,MATCH($A142,Baarn!$C$43:$C$129,0)),"")&lt;&gt;"",IFERROR(INDEX(Baarn!$F$43:$F$129,MATCH($A142,Baarn!$C$43:$C$129,0)),""),IF(IFERROR(INDEX(Scherpenzeel!$F$210:$F$309,MATCH($A142,Scherpenzeel!$C$210:$C$309,0)),"")&lt;&gt;"",IFERROR(INDEX(Scherpenzeel!$F$210:$F$309,MATCH($A142,Scherpenzeel!$C$210:$C$309,0)),""),IF(IFERROR(INDEX('4'!$F$210:$F$309,MATCH($A142,'4'!$C$210:$C$309,0)),"")&lt;&gt;"",IFERROR(INDEX('4'!$F$210:$F$309,MATCH($A142,'4'!$C$210:$C$309,0)),""),IFERROR(INDEX('5'!$F$210:$F$309,MATCH($A142,'5'!$C$210:$C$309,0)),"")))))</f>
        <v/>
      </c>
      <c r="C142" s="24" t="str">
        <f>""</f>
        <v/>
      </c>
      <c r="D142" s="15">
        <f>0</f>
        <v>0</v>
      </c>
      <c r="E142" s="24" t="str">
        <f>IF($A142="","",IFERROR(INDEX(Baarn!$A$43:$A$129,MATCH($A142,Baarn!$C$43:$C$129,0)),""))</f>
        <v/>
      </c>
      <c r="F142" s="15">
        <f>IF($A142="",0,IFERROR(INDEX(Baarn!$I$43:$I$129,MATCH($A142,Baarn!$C$43:$C$129,0)),0))</f>
        <v>0</v>
      </c>
      <c r="G142" s="24" t="str">
        <f>IF($A142="","",IFERROR(INDEX(Scherpenzeel!$A$210:$A$309,MATCH($A142,Scherpenzeel!$C$210:$C$309,0)),""))</f>
        <v/>
      </c>
      <c r="H142" s="15">
        <f>IF($A142="",0,IFERROR(INDEX(Scherpenzeel!$I$210:$I$309,MATCH($A142,Scherpenzeel!$C$210:$C$309,0)),0))</f>
        <v>0</v>
      </c>
      <c r="I142" s="24" t="str">
        <f>IF($A142="","",IFERROR(INDEX('4'!$A$210:$A$309,MATCH($A142,'4'!$C$210:$C$309,0)),""))</f>
        <v/>
      </c>
      <c r="J142" s="15">
        <f>IF($A142="",0,IFERROR(INDEX('4'!$I$210:$I$309,MATCH($A142,'4'!$C$210:$C$309,0)),0))</f>
        <v>0</v>
      </c>
      <c r="K142" s="24" t="str">
        <f>IF($A142="","",IFERROR(INDEX('5'!$A$210:$A$309,MATCH($A142,'5'!$C$210:$C$309,0)),""))</f>
        <v/>
      </c>
      <c r="L142" s="15">
        <f>IF($A142="",0,IFERROR(INDEX('5'!$I$210:$I$309,MATCH($A142,'5'!$C$210:$C$309,0)),0))</f>
        <v>0</v>
      </c>
      <c r="M142" s="25" t="str">
        <f>IF($A142="","",D142+F142+H142+J142+L142)</f>
        <v/>
      </c>
      <c r="N142" s="26" t="str">
        <f>IF(OR($A142="",M142="",M142=0),"",RANK(M142,$M$4:$M$203,0))</f>
        <v/>
      </c>
      <c r="AA142">
        <f>Scherpenzeel!C264</f>
        <v>0</v>
      </c>
      <c r="AB142">
        <f>IF(AA142="",0,IF(COUNTIF($AA$1:AA142,AA142)=1,1,0))</f>
        <v>0</v>
      </c>
      <c r="AC142" t="str">
        <f>IF(AB142=1,COUNTIF($AB$1:AB142,1),"")</f>
        <v/>
      </c>
    </row>
    <row r="143" spans="1:29" x14ac:dyDescent="0.25">
      <c r="A143" s="13" t="str">
        <f>IFERROR(INDEX($AA$1:$AA$387,MATCH(140,$AC$1:$AC$387,0)),"")</f>
        <v/>
      </c>
      <c r="B143" s="13" t="str">
        <f>IF($A143="","",IF(IFERROR(INDEX(Baarn!$F$43:$F$129,MATCH($A143,Baarn!$C$43:$C$129,0)),"")&lt;&gt;"",IFERROR(INDEX(Baarn!$F$43:$F$129,MATCH($A143,Baarn!$C$43:$C$129,0)),""),IF(IFERROR(INDEX(Scherpenzeel!$F$210:$F$309,MATCH($A143,Scherpenzeel!$C$210:$C$309,0)),"")&lt;&gt;"",IFERROR(INDEX(Scherpenzeel!$F$210:$F$309,MATCH($A143,Scherpenzeel!$C$210:$C$309,0)),""),IF(IFERROR(INDEX('4'!$F$210:$F$309,MATCH($A143,'4'!$C$210:$C$309,0)),"")&lt;&gt;"",IFERROR(INDEX('4'!$F$210:$F$309,MATCH($A143,'4'!$C$210:$C$309,0)),""),IFERROR(INDEX('5'!$F$210:$F$309,MATCH($A143,'5'!$C$210:$C$309,0)),"")))))</f>
        <v/>
      </c>
      <c r="C143" s="24" t="str">
        <f>""</f>
        <v/>
      </c>
      <c r="D143" s="15">
        <f>0</f>
        <v>0</v>
      </c>
      <c r="E143" s="24" t="str">
        <f>IF($A143="","",IFERROR(INDEX(Baarn!$A$43:$A$129,MATCH($A143,Baarn!$C$43:$C$129,0)),""))</f>
        <v/>
      </c>
      <c r="F143" s="15">
        <f>IF($A143="",0,IFERROR(INDEX(Baarn!$I$43:$I$129,MATCH($A143,Baarn!$C$43:$C$129,0)),0))</f>
        <v>0</v>
      </c>
      <c r="G143" s="24" t="str">
        <f>IF($A143="","",IFERROR(INDEX(Scherpenzeel!$A$210:$A$309,MATCH($A143,Scherpenzeel!$C$210:$C$309,0)),""))</f>
        <v/>
      </c>
      <c r="H143" s="15">
        <f>IF($A143="",0,IFERROR(INDEX(Scherpenzeel!$I$210:$I$309,MATCH($A143,Scherpenzeel!$C$210:$C$309,0)),0))</f>
        <v>0</v>
      </c>
      <c r="I143" s="24" t="str">
        <f>IF($A143="","",IFERROR(INDEX('4'!$A$210:$A$309,MATCH($A143,'4'!$C$210:$C$309,0)),""))</f>
        <v/>
      </c>
      <c r="J143" s="15">
        <f>IF($A143="",0,IFERROR(INDEX('4'!$I$210:$I$309,MATCH($A143,'4'!$C$210:$C$309,0)),0))</f>
        <v>0</v>
      </c>
      <c r="K143" s="24" t="str">
        <f>IF($A143="","",IFERROR(INDEX('5'!$A$210:$A$309,MATCH($A143,'5'!$C$210:$C$309,0)),""))</f>
        <v/>
      </c>
      <c r="L143" s="15">
        <f>IF($A143="",0,IFERROR(INDEX('5'!$I$210:$I$309,MATCH($A143,'5'!$C$210:$C$309,0)),0))</f>
        <v>0</v>
      </c>
      <c r="M143" s="25" t="str">
        <f>IF($A143="","",D143+F143+H143+J143+L143)</f>
        <v/>
      </c>
      <c r="N143" s="26" t="str">
        <f>IF(OR($A143="",M143="",M143=0),"",RANK(M143,$M$4:$M$203,0))</f>
        <v/>
      </c>
      <c r="AA143">
        <f>Scherpenzeel!C265</f>
        <v>0</v>
      </c>
      <c r="AB143">
        <f>IF(AA143="",0,IF(COUNTIF($AA$1:AA143,AA143)=1,1,0))</f>
        <v>0</v>
      </c>
      <c r="AC143" t="str">
        <f>IF(AB143=1,COUNTIF($AB$1:AB143,1),"")</f>
        <v/>
      </c>
    </row>
    <row r="144" spans="1:29" x14ac:dyDescent="0.25">
      <c r="A144" s="13" t="str">
        <f>IFERROR(INDEX($AA$1:$AA$387,MATCH(141,$AC$1:$AC$387,0)),"")</f>
        <v/>
      </c>
      <c r="B144" s="13" t="str">
        <f>IF($A144="","",IF(IFERROR(INDEX(Baarn!$F$43:$F$129,MATCH($A144,Baarn!$C$43:$C$129,0)),"")&lt;&gt;"",IFERROR(INDEX(Baarn!$F$43:$F$129,MATCH($A144,Baarn!$C$43:$C$129,0)),""),IF(IFERROR(INDEX(Scherpenzeel!$F$210:$F$309,MATCH($A144,Scherpenzeel!$C$210:$C$309,0)),"")&lt;&gt;"",IFERROR(INDEX(Scherpenzeel!$F$210:$F$309,MATCH($A144,Scherpenzeel!$C$210:$C$309,0)),""),IF(IFERROR(INDEX('4'!$F$210:$F$309,MATCH($A144,'4'!$C$210:$C$309,0)),"")&lt;&gt;"",IFERROR(INDEX('4'!$F$210:$F$309,MATCH($A144,'4'!$C$210:$C$309,0)),""),IFERROR(INDEX('5'!$F$210:$F$309,MATCH($A144,'5'!$C$210:$C$309,0)),"")))))</f>
        <v/>
      </c>
      <c r="C144" s="24" t="str">
        <f>""</f>
        <v/>
      </c>
      <c r="D144" s="15">
        <f>0</f>
        <v>0</v>
      </c>
      <c r="E144" s="24" t="str">
        <f>IF($A144="","",IFERROR(INDEX(Baarn!$A$43:$A$129,MATCH($A144,Baarn!$C$43:$C$129,0)),""))</f>
        <v/>
      </c>
      <c r="F144" s="15">
        <f>IF($A144="",0,IFERROR(INDEX(Baarn!$I$43:$I$129,MATCH($A144,Baarn!$C$43:$C$129,0)),0))</f>
        <v>0</v>
      </c>
      <c r="G144" s="24" t="str">
        <f>IF($A144="","",IFERROR(INDEX(Scherpenzeel!$A$210:$A$309,MATCH($A144,Scherpenzeel!$C$210:$C$309,0)),""))</f>
        <v/>
      </c>
      <c r="H144" s="15">
        <f>IF($A144="",0,IFERROR(INDEX(Scherpenzeel!$I$210:$I$309,MATCH($A144,Scherpenzeel!$C$210:$C$309,0)),0))</f>
        <v>0</v>
      </c>
      <c r="I144" s="24" t="str">
        <f>IF($A144="","",IFERROR(INDEX('4'!$A$210:$A$309,MATCH($A144,'4'!$C$210:$C$309,0)),""))</f>
        <v/>
      </c>
      <c r="J144" s="15">
        <f>IF($A144="",0,IFERROR(INDEX('4'!$I$210:$I$309,MATCH($A144,'4'!$C$210:$C$309,0)),0))</f>
        <v>0</v>
      </c>
      <c r="K144" s="24" t="str">
        <f>IF($A144="","",IFERROR(INDEX('5'!$A$210:$A$309,MATCH($A144,'5'!$C$210:$C$309,0)),""))</f>
        <v/>
      </c>
      <c r="L144" s="15">
        <f>IF($A144="",0,IFERROR(INDEX('5'!$I$210:$I$309,MATCH($A144,'5'!$C$210:$C$309,0)),0))</f>
        <v>0</v>
      </c>
      <c r="M144" s="25" t="str">
        <f>IF($A144="","",D144+F144+H144+J144+L144)</f>
        <v/>
      </c>
      <c r="N144" s="26" t="str">
        <f>IF(OR($A144="",M144="",M144=0),"",RANK(M144,$M$4:$M$203,0))</f>
        <v/>
      </c>
      <c r="AA144">
        <f>Scherpenzeel!C266</f>
        <v>0</v>
      </c>
      <c r="AB144">
        <f>IF(AA144="",0,IF(COUNTIF($AA$1:AA144,AA144)=1,1,0))</f>
        <v>0</v>
      </c>
      <c r="AC144" t="str">
        <f>IF(AB144=1,COUNTIF($AB$1:AB144,1),"")</f>
        <v/>
      </c>
    </row>
    <row r="145" spans="1:29" x14ac:dyDescent="0.25">
      <c r="A145" s="13" t="str">
        <f>IFERROR(INDEX($AA$1:$AA$387,MATCH(142,$AC$1:$AC$387,0)),"")</f>
        <v/>
      </c>
      <c r="B145" s="13" t="str">
        <f>IF($A145="","",IF(IFERROR(INDEX(Baarn!$F$43:$F$129,MATCH($A145,Baarn!$C$43:$C$129,0)),"")&lt;&gt;"",IFERROR(INDEX(Baarn!$F$43:$F$129,MATCH($A145,Baarn!$C$43:$C$129,0)),""),IF(IFERROR(INDEX(Scherpenzeel!$F$210:$F$309,MATCH($A145,Scherpenzeel!$C$210:$C$309,0)),"")&lt;&gt;"",IFERROR(INDEX(Scherpenzeel!$F$210:$F$309,MATCH($A145,Scherpenzeel!$C$210:$C$309,0)),""),IF(IFERROR(INDEX('4'!$F$210:$F$309,MATCH($A145,'4'!$C$210:$C$309,0)),"")&lt;&gt;"",IFERROR(INDEX('4'!$F$210:$F$309,MATCH($A145,'4'!$C$210:$C$309,0)),""),IFERROR(INDEX('5'!$F$210:$F$309,MATCH($A145,'5'!$C$210:$C$309,0)),"")))))</f>
        <v/>
      </c>
      <c r="C145" s="24" t="str">
        <f>""</f>
        <v/>
      </c>
      <c r="D145" s="15">
        <f>0</f>
        <v>0</v>
      </c>
      <c r="E145" s="24" t="str">
        <f>IF($A145="","",IFERROR(INDEX(Baarn!$A$43:$A$129,MATCH($A145,Baarn!$C$43:$C$129,0)),""))</f>
        <v/>
      </c>
      <c r="F145" s="15">
        <f>IF($A145="",0,IFERROR(INDEX(Baarn!$I$43:$I$129,MATCH($A145,Baarn!$C$43:$C$129,0)),0))</f>
        <v>0</v>
      </c>
      <c r="G145" s="24" t="str">
        <f>IF($A145="","",IFERROR(INDEX(Scherpenzeel!$A$210:$A$309,MATCH($A145,Scherpenzeel!$C$210:$C$309,0)),""))</f>
        <v/>
      </c>
      <c r="H145" s="15">
        <f>IF($A145="",0,IFERROR(INDEX(Scherpenzeel!$I$210:$I$309,MATCH($A145,Scherpenzeel!$C$210:$C$309,0)),0))</f>
        <v>0</v>
      </c>
      <c r="I145" s="24" t="str">
        <f>IF($A145="","",IFERROR(INDEX('4'!$A$210:$A$309,MATCH($A145,'4'!$C$210:$C$309,0)),""))</f>
        <v/>
      </c>
      <c r="J145" s="15">
        <f>IF($A145="",0,IFERROR(INDEX('4'!$I$210:$I$309,MATCH($A145,'4'!$C$210:$C$309,0)),0))</f>
        <v>0</v>
      </c>
      <c r="K145" s="24" t="str">
        <f>IF($A145="","",IFERROR(INDEX('5'!$A$210:$A$309,MATCH($A145,'5'!$C$210:$C$309,0)),""))</f>
        <v/>
      </c>
      <c r="L145" s="15">
        <f>IF($A145="",0,IFERROR(INDEX('5'!$I$210:$I$309,MATCH($A145,'5'!$C$210:$C$309,0)),0))</f>
        <v>0</v>
      </c>
      <c r="M145" s="25" t="str">
        <f>IF($A145="","",D145+F145+H145+J145+L145)</f>
        <v/>
      </c>
      <c r="N145" s="26" t="str">
        <f>IF(OR($A145="",M145="",M145=0),"",RANK(M145,$M$4:$M$203,0))</f>
        <v/>
      </c>
      <c r="AA145">
        <f>Scherpenzeel!C267</f>
        <v>0</v>
      </c>
      <c r="AB145">
        <f>IF(AA145="",0,IF(COUNTIF($AA$1:AA145,AA145)=1,1,0))</f>
        <v>0</v>
      </c>
      <c r="AC145" t="str">
        <f>IF(AB145=1,COUNTIF($AB$1:AB145,1),"")</f>
        <v/>
      </c>
    </row>
    <row r="146" spans="1:29" x14ac:dyDescent="0.25">
      <c r="A146" s="13" t="str">
        <f>IFERROR(INDEX($AA$1:$AA$387,MATCH(143,$AC$1:$AC$387,0)),"")</f>
        <v/>
      </c>
      <c r="B146" s="13" t="str">
        <f>IF($A146="","",IF(IFERROR(INDEX(Baarn!$F$43:$F$129,MATCH($A146,Baarn!$C$43:$C$129,0)),"")&lt;&gt;"",IFERROR(INDEX(Baarn!$F$43:$F$129,MATCH($A146,Baarn!$C$43:$C$129,0)),""),IF(IFERROR(INDEX(Scherpenzeel!$F$210:$F$309,MATCH($A146,Scherpenzeel!$C$210:$C$309,0)),"")&lt;&gt;"",IFERROR(INDEX(Scherpenzeel!$F$210:$F$309,MATCH($A146,Scherpenzeel!$C$210:$C$309,0)),""),IF(IFERROR(INDEX('4'!$F$210:$F$309,MATCH($A146,'4'!$C$210:$C$309,0)),"")&lt;&gt;"",IFERROR(INDEX('4'!$F$210:$F$309,MATCH($A146,'4'!$C$210:$C$309,0)),""),IFERROR(INDEX('5'!$F$210:$F$309,MATCH($A146,'5'!$C$210:$C$309,0)),"")))))</f>
        <v/>
      </c>
      <c r="C146" s="24" t="str">
        <f>""</f>
        <v/>
      </c>
      <c r="D146" s="15">
        <f>0</f>
        <v>0</v>
      </c>
      <c r="E146" s="24" t="str">
        <f>IF($A146="","",IFERROR(INDEX(Baarn!$A$43:$A$129,MATCH($A146,Baarn!$C$43:$C$129,0)),""))</f>
        <v/>
      </c>
      <c r="F146" s="15">
        <f>IF($A146="",0,IFERROR(INDEX(Baarn!$I$43:$I$129,MATCH($A146,Baarn!$C$43:$C$129,0)),0))</f>
        <v>0</v>
      </c>
      <c r="G146" s="24" t="str">
        <f>IF($A146="","",IFERROR(INDEX(Scherpenzeel!$A$210:$A$309,MATCH($A146,Scherpenzeel!$C$210:$C$309,0)),""))</f>
        <v/>
      </c>
      <c r="H146" s="15">
        <f>IF($A146="",0,IFERROR(INDEX(Scherpenzeel!$I$210:$I$309,MATCH($A146,Scherpenzeel!$C$210:$C$309,0)),0))</f>
        <v>0</v>
      </c>
      <c r="I146" s="24" t="str">
        <f>IF($A146="","",IFERROR(INDEX('4'!$A$210:$A$309,MATCH($A146,'4'!$C$210:$C$309,0)),""))</f>
        <v/>
      </c>
      <c r="J146" s="15">
        <f>IF($A146="",0,IFERROR(INDEX('4'!$I$210:$I$309,MATCH($A146,'4'!$C$210:$C$309,0)),0))</f>
        <v>0</v>
      </c>
      <c r="K146" s="24" t="str">
        <f>IF($A146="","",IFERROR(INDEX('5'!$A$210:$A$309,MATCH($A146,'5'!$C$210:$C$309,0)),""))</f>
        <v/>
      </c>
      <c r="L146" s="15">
        <f>IF($A146="",0,IFERROR(INDEX('5'!$I$210:$I$309,MATCH($A146,'5'!$C$210:$C$309,0)),0))</f>
        <v>0</v>
      </c>
      <c r="M146" s="25" t="str">
        <f>IF($A146="","",D146+F146+H146+J146+L146)</f>
        <v/>
      </c>
      <c r="N146" s="26" t="str">
        <f>IF(OR($A146="",M146="",M146=0),"",RANK(M146,$M$4:$M$203,0))</f>
        <v/>
      </c>
      <c r="AA146">
        <f>Scherpenzeel!C268</f>
        <v>0</v>
      </c>
      <c r="AB146">
        <f>IF(AA146="",0,IF(COUNTIF($AA$1:AA146,AA146)=1,1,0))</f>
        <v>0</v>
      </c>
      <c r="AC146" t="str">
        <f>IF(AB146=1,COUNTIF($AB$1:AB146,1),"")</f>
        <v/>
      </c>
    </row>
    <row r="147" spans="1:29" x14ac:dyDescent="0.25">
      <c r="A147" s="13" t="str">
        <f>IFERROR(INDEX($AA$1:$AA$387,MATCH(144,$AC$1:$AC$387,0)),"")</f>
        <v/>
      </c>
      <c r="B147" s="13" t="str">
        <f>IF($A147="","",IF(IFERROR(INDEX(Baarn!$F$43:$F$129,MATCH($A147,Baarn!$C$43:$C$129,0)),"")&lt;&gt;"",IFERROR(INDEX(Baarn!$F$43:$F$129,MATCH($A147,Baarn!$C$43:$C$129,0)),""),IF(IFERROR(INDEX(Scherpenzeel!$F$210:$F$309,MATCH($A147,Scherpenzeel!$C$210:$C$309,0)),"")&lt;&gt;"",IFERROR(INDEX(Scherpenzeel!$F$210:$F$309,MATCH($A147,Scherpenzeel!$C$210:$C$309,0)),""),IF(IFERROR(INDEX('4'!$F$210:$F$309,MATCH($A147,'4'!$C$210:$C$309,0)),"")&lt;&gt;"",IFERROR(INDEX('4'!$F$210:$F$309,MATCH($A147,'4'!$C$210:$C$309,0)),""),IFERROR(INDEX('5'!$F$210:$F$309,MATCH($A147,'5'!$C$210:$C$309,0)),"")))))</f>
        <v/>
      </c>
      <c r="C147" s="24" t="str">
        <f>""</f>
        <v/>
      </c>
      <c r="D147" s="15">
        <f>0</f>
        <v>0</v>
      </c>
      <c r="E147" s="24" t="str">
        <f>IF($A147="","",IFERROR(INDEX(Baarn!$A$43:$A$129,MATCH($A147,Baarn!$C$43:$C$129,0)),""))</f>
        <v/>
      </c>
      <c r="F147" s="15">
        <f>IF($A147="",0,IFERROR(INDEX(Baarn!$I$43:$I$129,MATCH($A147,Baarn!$C$43:$C$129,0)),0))</f>
        <v>0</v>
      </c>
      <c r="G147" s="24" t="str">
        <f>IF($A147="","",IFERROR(INDEX(Scherpenzeel!$A$210:$A$309,MATCH($A147,Scherpenzeel!$C$210:$C$309,0)),""))</f>
        <v/>
      </c>
      <c r="H147" s="15">
        <f>IF($A147="",0,IFERROR(INDEX(Scherpenzeel!$I$210:$I$309,MATCH($A147,Scherpenzeel!$C$210:$C$309,0)),0))</f>
        <v>0</v>
      </c>
      <c r="I147" s="24" t="str">
        <f>IF($A147="","",IFERROR(INDEX('4'!$A$210:$A$309,MATCH($A147,'4'!$C$210:$C$309,0)),""))</f>
        <v/>
      </c>
      <c r="J147" s="15">
        <f>IF($A147="",0,IFERROR(INDEX('4'!$I$210:$I$309,MATCH($A147,'4'!$C$210:$C$309,0)),0))</f>
        <v>0</v>
      </c>
      <c r="K147" s="24" t="str">
        <f>IF($A147="","",IFERROR(INDEX('5'!$A$210:$A$309,MATCH($A147,'5'!$C$210:$C$309,0)),""))</f>
        <v/>
      </c>
      <c r="L147" s="15">
        <f>IF($A147="",0,IFERROR(INDEX('5'!$I$210:$I$309,MATCH($A147,'5'!$C$210:$C$309,0)),0))</f>
        <v>0</v>
      </c>
      <c r="M147" s="25" t="str">
        <f>IF($A147="","",D147+F147+H147+J147+L147)</f>
        <v/>
      </c>
      <c r="N147" s="26" t="str">
        <f>IF(OR($A147="",M147="",M147=0),"",RANK(M147,$M$4:$M$203,0))</f>
        <v/>
      </c>
      <c r="AA147">
        <f>Scherpenzeel!C269</f>
        <v>0</v>
      </c>
      <c r="AB147">
        <f>IF(AA147="",0,IF(COUNTIF($AA$1:AA147,AA147)=1,1,0))</f>
        <v>0</v>
      </c>
      <c r="AC147" t="str">
        <f>IF(AB147=1,COUNTIF($AB$1:AB147,1),"")</f>
        <v/>
      </c>
    </row>
    <row r="148" spans="1:29" x14ac:dyDescent="0.25">
      <c r="A148" s="13" t="str">
        <f>IFERROR(INDEX($AA$1:$AA$387,MATCH(145,$AC$1:$AC$387,0)),"")</f>
        <v/>
      </c>
      <c r="B148" s="13" t="str">
        <f>IF($A148="","",IF(IFERROR(INDEX(Baarn!$F$43:$F$129,MATCH($A148,Baarn!$C$43:$C$129,0)),"")&lt;&gt;"",IFERROR(INDEX(Baarn!$F$43:$F$129,MATCH($A148,Baarn!$C$43:$C$129,0)),""),IF(IFERROR(INDEX(Scherpenzeel!$F$210:$F$309,MATCH($A148,Scherpenzeel!$C$210:$C$309,0)),"")&lt;&gt;"",IFERROR(INDEX(Scherpenzeel!$F$210:$F$309,MATCH($A148,Scherpenzeel!$C$210:$C$309,0)),""),IF(IFERROR(INDEX('4'!$F$210:$F$309,MATCH($A148,'4'!$C$210:$C$309,0)),"")&lt;&gt;"",IFERROR(INDEX('4'!$F$210:$F$309,MATCH($A148,'4'!$C$210:$C$309,0)),""),IFERROR(INDEX('5'!$F$210:$F$309,MATCH($A148,'5'!$C$210:$C$309,0)),"")))))</f>
        <v/>
      </c>
      <c r="C148" s="24" t="str">
        <f>""</f>
        <v/>
      </c>
      <c r="D148" s="15">
        <f>0</f>
        <v>0</v>
      </c>
      <c r="E148" s="24" t="str">
        <f>IF($A148="","",IFERROR(INDEX(Baarn!$A$43:$A$129,MATCH($A148,Baarn!$C$43:$C$129,0)),""))</f>
        <v/>
      </c>
      <c r="F148" s="15">
        <f>IF($A148="",0,IFERROR(INDEX(Baarn!$I$43:$I$129,MATCH($A148,Baarn!$C$43:$C$129,0)),0))</f>
        <v>0</v>
      </c>
      <c r="G148" s="24" t="str">
        <f>IF($A148="","",IFERROR(INDEX(Scherpenzeel!$A$210:$A$309,MATCH($A148,Scherpenzeel!$C$210:$C$309,0)),""))</f>
        <v/>
      </c>
      <c r="H148" s="15">
        <f>IF($A148="",0,IFERROR(INDEX(Scherpenzeel!$I$210:$I$309,MATCH($A148,Scherpenzeel!$C$210:$C$309,0)),0))</f>
        <v>0</v>
      </c>
      <c r="I148" s="24" t="str">
        <f>IF($A148="","",IFERROR(INDEX('4'!$A$210:$A$309,MATCH($A148,'4'!$C$210:$C$309,0)),""))</f>
        <v/>
      </c>
      <c r="J148" s="15">
        <f>IF($A148="",0,IFERROR(INDEX('4'!$I$210:$I$309,MATCH($A148,'4'!$C$210:$C$309,0)),0))</f>
        <v>0</v>
      </c>
      <c r="K148" s="24" t="str">
        <f>IF($A148="","",IFERROR(INDEX('5'!$A$210:$A$309,MATCH($A148,'5'!$C$210:$C$309,0)),""))</f>
        <v/>
      </c>
      <c r="L148" s="15">
        <f>IF($A148="",0,IFERROR(INDEX('5'!$I$210:$I$309,MATCH($A148,'5'!$C$210:$C$309,0)),0))</f>
        <v>0</v>
      </c>
      <c r="M148" s="25" t="str">
        <f>IF($A148="","",D148+F148+H148+J148+L148)</f>
        <v/>
      </c>
      <c r="N148" s="26" t="str">
        <f>IF(OR($A148="",M148="",M148=0),"",RANK(M148,$M$4:$M$203,0))</f>
        <v/>
      </c>
      <c r="AA148">
        <f>Scherpenzeel!C270</f>
        <v>0</v>
      </c>
      <c r="AB148">
        <f>IF(AA148="",0,IF(COUNTIF($AA$1:AA148,AA148)=1,1,0))</f>
        <v>0</v>
      </c>
      <c r="AC148" t="str">
        <f>IF(AB148=1,COUNTIF($AB$1:AB148,1),"")</f>
        <v/>
      </c>
    </row>
    <row r="149" spans="1:29" x14ac:dyDescent="0.25">
      <c r="A149" s="13" t="str">
        <f>IFERROR(INDEX($AA$1:$AA$387,MATCH(146,$AC$1:$AC$387,0)),"")</f>
        <v/>
      </c>
      <c r="B149" s="13" t="str">
        <f>IF($A149="","",IF(IFERROR(INDEX(Baarn!$F$43:$F$129,MATCH($A149,Baarn!$C$43:$C$129,0)),"")&lt;&gt;"",IFERROR(INDEX(Baarn!$F$43:$F$129,MATCH($A149,Baarn!$C$43:$C$129,0)),""),IF(IFERROR(INDEX(Scherpenzeel!$F$210:$F$309,MATCH($A149,Scherpenzeel!$C$210:$C$309,0)),"")&lt;&gt;"",IFERROR(INDEX(Scherpenzeel!$F$210:$F$309,MATCH($A149,Scherpenzeel!$C$210:$C$309,0)),""),IF(IFERROR(INDEX('4'!$F$210:$F$309,MATCH($A149,'4'!$C$210:$C$309,0)),"")&lt;&gt;"",IFERROR(INDEX('4'!$F$210:$F$309,MATCH($A149,'4'!$C$210:$C$309,0)),""),IFERROR(INDEX('5'!$F$210:$F$309,MATCH($A149,'5'!$C$210:$C$309,0)),"")))))</f>
        <v/>
      </c>
      <c r="C149" s="24" t="str">
        <f>""</f>
        <v/>
      </c>
      <c r="D149" s="15">
        <f>0</f>
        <v>0</v>
      </c>
      <c r="E149" s="24" t="str">
        <f>IF($A149="","",IFERROR(INDEX(Baarn!$A$43:$A$129,MATCH($A149,Baarn!$C$43:$C$129,0)),""))</f>
        <v/>
      </c>
      <c r="F149" s="15">
        <f>IF($A149="",0,IFERROR(INDEX(Baarn!$I$43:$I$129,MATCH($A149,Baarn!$C$43:$C$129,0)),0))</f>
        <v>0</v>
      </c>
      <c r="G149" s="24" t="str">
        <f>IF($A149="","",IFERROR(INDEX(Scherpenzeel!$A$210:$A$309,MATCH($A149,Scherpenzeel!$C$210:$C$309,0)),""))</f>
        <v/>
      </c>
      <c r="H149" s="15">
        <f>IF($A149="",0,IFERROR(INDEX(Scherpenzeel!$I$210:$I$309,MATCH($A149,Scherpenzeel!$C$210:$C$309,0)),0))</f>
        <v>0</v>
      </c>
      <c r="I149" s="24" t="str">
        <f>IF($A149="","",IFERROR(INDEX('4'!$A$210:$A$309,MATCH($A149,'4'!$C$210:$C$309,0)),""))</f>
        <v/>
      </c>
      <c r="J149" s="15">
        <f>IF($A149="",0,IFERROR(INDEX('4'!$I$210:$I$309,MATCH($A149,'4'!$C$210:$C$309,0)),0))</f>
        <v>0</v>
      </c>
      <c r="K149" s="24" t="str">
        <f>IF($A149="","",IFERROR(INDEX('5'!$A$210:$A$309,MATCH($A149,'5'!$C$210:$C$309,0)),""))</f>
        <v/>
      </c>
      <c r="L149" s="15">
        <f>IF($A149="",0,IFERROR(INDEX('5'!$I$210:$I$309,MATCH($A149,'5'!$C$210:$C$309,0)),0))</f>
        <v>0</v>
      </c>
      <c r="M149" s="25" t="str">
        <f>IF($A149="","",D149+F149+H149+J149+L149)</f>
        <v/>
      </c>
      <c r="N149" s="26" t="str">
        <f>IF(OR($A149="",M149="",M149=0),"",RANK(M149,$M$4:$M$203,0))</f>
        <v/>
      </c>
      <c r="AA149">
        <f>Scherpenzeel!C271</f>
        <v>0</v>
      </c>
      <c r="AB149">
        <f>IF(AA149="",0,IF(COUNTIF($AA$1:AA149,AA149)=1,1,0))</f>
        <v>0</v>
      </c>
      <c r="AC149" t="str">
        <f>IF(AB149=1,COUNTIF($AB$1:AB149,1),"")</f>
        <v/>
      </c>
    </row>
    <row r="150" spans="1:29" x14ac:dyDescent="0.25">
      <c r="A150" s="13" t="str">
        <f>IFERROR(INDEX($AA$1:$AA$387,MATCH(147,$AC$1:$AC$387,0)),"")</f>
        <v/>
      </c>
      <c r="B150" s="13" t="str">
        <f>IF($A150="","",IF(IFERROR(INDEX(Baarn!$F$43:$F$129,MATCH($A150,Baarn!$C$43:$C$129,0)),"")&lt;&gt;"",IFERROR(INDEX(Baarn!$F$43:$F$129,MATCH($A150,Baarn!$C$43:$C$129,0)),""),IF(IFERROR(INDEX(Scherpenzeel!$F$210:$F$309,MATCH($A150,Scherpenzeel!$C$210:$C$309,0)),"")&lt;&gt;"",IFERROR(INDEX(Scherpenzeel!$F$210:$F$309,MATCH($A150,Scherpenzeel!$C$210:$C$309,0)),""),IF(IFERROR(INDEX('4'!$F$210:$F$309,MATCH($A150,'4'!$C$210:$C$309,0)),"")&lt;&gt;"",IFERROR(INDEX('4'!$F$210:$F$309,MATCH($A150,'4'!$C$210:$C$309,0)),""),IFERROR(INDEX('5'!$F$210:$F$309,MATCH($A150,'5'!$C$210:$C$309,0)),"")))))</f>
        <v/>
      </c>
      <c r="C150" s="24" t="str">
        <f>""</f>
        <v/>
      </c>
      <c r="D150" s="15">
        <f>0</f>
        <v>0</v>
      </c>
      <c r="E150" s="24" t="str">
        <f>IF($A150="","",IFERROR(INDEX(Baarn!$A$43:$A$129,MATCH($A150,Baarn!$C$43:$C$129,0)),""))</f>
        <v/>
      </c>
      <c r="F150" s="15">
        <f>IF($A150="",0,IFERROR(INDEX(Baarn!$I$43:$I$129,MATCH($A150,Baarn!$C$43:$C$129,0)),0))</f>
        <v>0</v>
      </c>
      <c r="G150" s="24" t="str">
        <f>IF($A150="","",IFERROR(INDEX(Scherpenzeel!$A$210:$A$309,MATCH($A150,Scherpenzeel!$C$210:$C$309,0)),""))</f>
        <v/>
      </c>
      <c r="H150" s="15">
        <f>IF($A150="",0,IFERROR(INDEX(Scherpenzeel!$I$210:$I$309,MATCH($A150,Scherpenzeel!$C$210:$C$309,0)),0))</f>
        <v>0</v>
      </c>
      <c r="I150" s="24" t="str">
        <f>IF($A150="","",IFERROR(INDEX('4'!$A$210:$A$309,MATCH($A150,'4'!$C$210:$C$309,0)),""))</f>
        <v/>
      </c>
      <c r="J150" s="15">
        <f>IF($A150="",0,IFERROR(INDEX('4'!$I$210:$I$309,MATCH($A150,'4'!$C$210:$C$309,0)),0))</f>
        <v>0</v>
      </c>
      <c r="K150" s="24" t="str">
        <f>IF($A150="","",IFERROR(INDEX('5'!$A$210:$A$309,MATCH($A150,'5'!$C$210:$C$309,0)),""))</f>
        <v/>
      </c>
      <c r="L150" s="15">
        <f>IF($A150="",0,IFERROR(INDEX('5'!$I$210:$I$309,MATCH($A150,'5'!$C$210:$C$309,0)),0))</f>
        <v>0</v>
      </c>
      <c r="M150" s="25" t="str">
        <f>IF($A150="","",D150+F150+H150+J150+L150)</f>
        <v/>
      </c>
      <c r="N150" s="26" t="str">
        <f>IF(OR($A150="",M150="",M150=0),"",RANK(M150,$M$4:$M$203,0))</f>
        <v/>
      </c>
      <c r="AA150">
        <f>Scherpenzeel!C272</f>
        <v>0</v>
      </c>
      <c r="AB150">
        <f>IF(AA150="",0,IF(COUNTIF($AA$1:AA150,AA150)=1,1,0))</f>
        <v>0</v>
      </c>
      <c r="AC150" t="str">
        <f>IF(AB150=1,COUNTIF($AB$1:AB150,1),"")</f>
        <v/>
      </c>
    </row>
    <row r="151" spans="1:29" x14ac:dyDescent="0.25">
      <c r="A151" s="13" t="str">
        <f>IFERROR(INDEX($AA$1:$AA$387,MATCH(148,$AC$1:$AC$387,0)),"")</f>
        <v/>
      </c>
      <c r="B151" s="13" t="str">
        <f>IF($A151="","",IF(IFERROR(INDEX(Baarn!$F$43:$F$129,MATCH($A151,Baarn!$C$43:$C$129,0)),"")&lt;&gt;"",IFERROR(INDEX(Baarn!$F$43:$F$129,MATCH($A151,Baarn!$C$43:$C$129,0)),""),IF(IFERROR(INDEX(Scherpenzeel!$F$210:$F$309,MATCH($A151,Scherpenzeel!$C$210:$C$309,0)),"")&lt;&gt;"",IFERROR(INDEX(Scherpenzeel!$F$210:$F$309,MATCH($A151,Scherpenzeel!$C$210:$C$309,0)),""),IF(IFERROR(INDEX('4'!$F$210:$F$309,MATCH($A151,'4'!$C$210:$C$309,0)),"")&lt;&gt;"",IFERROR(INDEX('4'!$F$210:$F$309,MATCH($A151,'4'!$C$210:$C$309,0)),""),IFERROR(INDEX('5'!$F$210:$F$309,MATCH($A151,'5'!$C$210:$C$309,0)),"")))))</f>
        <v/>
      </c>
      <c r="C151" s="24" t="str">
        <f>""</f>
        <v/>
      </c>
      <c r="D151" s="15">
        <f>0</f>
        <v>0</v>
      </c>
      <c r="E151" s="24" t="str">
        <f>IF($A151="","",IFERROR(INDEX(Baarn!$A$43:$A$129,MATCH($A151,Baarn!$C$43:$C$129,0)),""))</f>
        <v/>
      </c>
      <c r="F151" s="15">
        <f>IF($A151="",0,IFERROR(INDEX(Baarn!$I$43:$I$129,MATCH($A151,Baarn!$C$43:$C$129,0)),0))</f>
        <v>0</v>
      </c>
      <c r="G151" s="24" t="str">
        <f>IF($A151="","",IFERROR(INDEX(Scherpenzeel!$A$210:$A$309,MATCH($A151,Scherpenzeel!$C$210:$C$309,0)),""))</f>
        <v/>
      </c>
      <c r="H151" s="15">
        <f>IF($A151="",0,IFERROR(INDEX(Scherpenzeel!$I$210:$I$309,MATCH($A151,Scherpenzeel!$C$210:$C$309,0)),0))</f>
        <v>0</v>
      </c>
      <c r="I151" s="24" t="str">
        <f>IF($A151="","",IFERROR(INDEX('4'!$A$210:$A$309,MATCH($A151,'4'!$C$210:$C$309,0)),""))</f>
        <v/>
      </c>
      <c r="J151" s="15">
        <f>IF($A151="",0,IFERROR(INDEX('4'!$I$210:$I$309,MATCH($A151,'4'!$C$210:$C$309,0)),0))</f>
        <v>0</v>
      </c>
      <c r="K151" s="24" t="str">
        <f>IF($A151="","",IFERROR(INDEX('5'!$A$210:$A$309,MATCH($A151,'5'!$C$210:$C$309,0)),""))</f>
        <v/>
      </c>
      <c r="L151" s="15">
        <f>IF($A151="",0,IFERROR(INDEX('5'!$I$210:$I$309,MATCH($A151,'5'!$C$210:$C$309,0)),0))</f>
        <v>0</v>
      </c>
      <c r="M151" s="25" t="str">
        <f>IF($A151="","",D151+F151+H151+J151+L151)</f>
        <v/>
      </c>
      <c r="N151" s="26" t="str">
        <f>IF(OR($A151="",M151="",M151=0),"",RANK(M151,$M$4:$M$203,0))</f>
        <v/>
      </c>
      <c r="AA151">
        <f>Scherpenzeel!C273</f>
        <v>0</v>
      </c>
      <c r="AB151">
        <f>IF(AA151="",0,IF(COUNTIF($AA$1:AA151,AA151)=1,1,0))</f>
        <v>0</v>
      </c>
      <c r="AC151" t="str">
        <f>IF(AB151=1,COUNTIF($AB$1:AB151,1),"")</f>
        <v/>
      </c>
    </row>
    <row r="152" spans="1:29" x14ac:dyDescent="0.25">
      <c r="A152" s="13" t="str">
        <f>IFERROR(INDEX($AA$1:$AA$387,MATCH(149,$AC$1:$AC$387,0)),"")</f>
        <v/>
      </c>
      <c r="B152" s="13" t="str">
        <f>IF($A152="","",IF(IFERROR(INDEX(Baarn!$F$43:$F$129,MATCH($A152,Baarn!$C$43:$C$129,0)),"")&lt;&gt;"",IFERROR(INDEX(Baarn!$F$43:$F$129,MATCH($A152,Baarn!$C$43:$C$129,0)),""),IF(IFERROR(INDEX(Scherpenzeel!$F$210:$F$309,MATCH($A152,Scherpenzeel!$C$210:$C$309,0)),"")&lt;&gt;"",IFERROR(INDEX(Scherpenzeel!$F$210:$F$309,MATCH($A152,Scherpenzeel!$C$210:$C$309,0)),""),IF(IFERROR(INDEX('4'!$F$210:$F$309,MATCH($A152,'4'!$C$210:$C$309,0)),"")&lt;&gt;"",IFERROR(INDEX('4'!$F$210:$F$309,MATCH($A152,'4'!$C$210:$C$309,0)),""),IFERROR(INDEX('5'!$F$210:$F$309,MATCH($A152,'5'!$C$210:$C$309,0)),"")))))</f>
        <v/>
      </c>
      <c r="C152" s="24" t="str">
        <f>""</f>
        <v/>
      </c>
      <c r="D152" s="15">
        <f>0</f>
        <v>0</v>
      </c>
      <c r="E152" s="24" t="str">
        <f>IF($A152="","",IFERROR(INDEX(Baarn!$A$43:$A$129,MATCH($A152,Baarn!$C$43:$C$129,0)),""))</f>
        <v/>
      </c>
      <c r="F152" s="15">
        <f>IF($A152="",0,IFERROR(INDEX(Baarn!$I$43:$I$129,MATCH($A152,Baarn!$C$43:$C$129,0)),0))</f>
        <v>0</v>
      </c>
      <c r="G152" s="24" t="str">
        <f>IF($A152="","",IFERROR(INDEX(Scherpenzeel!$A$210:$A$309,MATCH($A152,Scherpenzeel!$C$210:$C$309,0)),""))</f>
        <v/>
      </c>
      <c r="H152" s="15">
        <f>IF($A152="",0,IFERROR(INDEX(Scherpenzeel!$I$210:$I$309,MATCH($A152,Scherpenzeel!$C$210:$C$309,0)),0))</f>
        <v>0</v>
      </c>
      <c r="I152" s="24" t="str">
        <f>IF($A152="","",IFERROR(INDEX('4'!$A$210:$A$309,MATCH($A152,'4'!$C$210:$C$309,0)),""))</f>
        <v/>
      </c>
      <c r="J152" s="15">
        <f>IF($A152="",0,IFERROR(INDEX('4'!$I$210:$I$309,MATCH($A152,'4'!$C$210:$C$309,0)),0))</f>
        <v>0</v>
      </c>
      <c r="K152" s="24" t="str">
        <f>IF($A152="","",IFERROR(INDEX('5'!$A$210:$A$309,MATCH($A152,'5'!$C$210:$C$309,0)),""))</f>
        <v/>
      </c>
      <c r="L152" s="15">
        <f>IF($A152="",0,IFERROR(INDEX('5'!$I$210:$I$309,MATCH($A152,'5'!$C$210:$C$309,0)),0))</f>
        <v>0</v>
      </c>
      <c r="M152" s="25" t="str">
        <f>IF($A152="","",D152+F152+H152+J152+L152)</f>
        <v/>
      </c>
      <c r="N152" s="26" t="str">
        <f>IF(OR($A152="",M152="",M152=0),"",RANK(M152,$M$4:$M$203,0))</f>
        <v/>
      </c>
      <c r="AA152">
        <f>Scherpenzeel!C274</f>
        <v>0</v>
      </c>
      <c r="AB152">
        <f>IF(AA152="",0,IF(COUNTIF($AA$1:AA152,AA152)=1,1,0))</f>
        <v>0</v>
      </c>
      <c r="AC152" t="str">
        <f>IF(AB152=1,COUNTIF($AB$1:AB152,1),"")</f>
        <v/>
      </c>
    </row>
    <row r="153" spans="1:29" x14ac:dyDescent="0.25">
      <c r="A153" s="13" t="str">
        <f>IFERROR(INDEX($AA$1:$AA$387,MATCH(150,$AC$1:$AC$387,0)),"")</f>
        <v/>
      </c>
      <c r="B153" s="13" t="str">
        <f>IF($A153="","",IF(IFERROR(INDEX(Baarn!$F$43:$F$129,MATCH($A153,Baarn!$C$43:$C$129,0)),"")&lt;&gt;"",IFERROR(INDEX(Baarn!$F$43:$F$129,MATCH($A153,Baarn!$C$43:$C$129,0)),""),IF(IFERROR(INDEX(Scherpenzeel!$F$210:$F$309,MATCH($A153,Scherpenzeel!$C$210:$C$309,0)),"")&lt;&gt;"",IFERROR(INDEX(Scherpenzeel!$F$210:$F$309,MATCH($A153,Scherpenzeel!$C$210:$C$309,0)),""),IF(IFERROR(INDEX('4'!$F$210:$F$309,MATCH($A153,'4'!$C$210:$C$309,0)),"")&lt;&gt;"",IFERROR(INDEX('4'!$F$210:$F$309,MATCH($A153,'4'!$C$210:$C$309,0)),""),IFERROR(INDEX('5'!$F$210:$F$309,MATCH($A153,'5'!$C$210:$C$309,0)),"")))))</f>
        <v/>
      </c>
      <c r="C153" s="24" t="str">
        <f>""</f>
        <v/>
      </c>
      <c r="D153" s="15">
        <f>0</f>
        <v>0</v>
      </c>
      <c r="E153" s="24" t="str">
        <f>IF($A153="","",IFERROR(INDEX(Baarn!$A$43:$A$129,MATCH($A153,Baarn!$C$43:$C$129,0)),""))</f>
        <v/>
      </c>
      <c r="F153" s="15">
        <f>IF($A153="",0,IFERROR(INDEX(Baarn!$I$43:$I$129,MATCH($A153,Baarn!$C$43:$C$129,0)),0))</f>
        <v>0</v>
      </c>
      <c r="G153" s="24" t="str">
        <f>IF($A153="","",IFERROR(INDEX(Scherpenzeel!$A$210:$A$309,MATCH($A153,Scherpenzeel!$C$210:$C$309,0)),""))</f>
        <v/>
      </c>
      <c r="H153" s="15">
        <f>IF($A153="",0,IFERROR(INDEX(Scherpenzeel!$I$210:$I$309,MATCH($A153,Scherpenzeel!$C$210:$C$309,0)),0))</f>
        <v>0</v>
      </c>
      <c r="I153" s="24" t="str">
        <f>IF($A153="","",IFERROR(INDEX('4'!$A$210:$A$309,MATCH($A153,'4'!$C$210:$C$309,0)),""))</f>
        <v/>
      </c>
      <c r="J153" s="15">
        <f>IF($A153="",0,IFERROR(INDEX('4'!$I$210:$I$309,MATCH($A153,'4'!$C$210:$C$309,0)),0))</f>
        <v>0</v>
      </c>
      <c r="K153" s="24" t="str">
        <f>IF($A153="","",IFERROR(INDEX('5'!$A$210:$A$309,MATCH($A153,'5'!$C$210:$C$309,0)),""))</f>
        <v/>
      </c>
      <c r="L153" s="15">
        <f>IF($A153="",0,IFERROR(INDEX('5'!$I$210:$I$309,MATCH($A153,'5'!$C$210:$C$309,0)),0))</f>
        <v>0</v>
      </c>
      <c r="M153" s="25" t="str">
        <f>IF($A153="","",D153+F153+H153+J153+L153)</f>
        <v/>
      </c>
      <c r="N153" s="26" t="str">
        <f>IF(OR($A153="",M153="",M153=0),"",RANK(M153,$M$4:$M$203,0))</f>
        <v/>
      </c>
      <c r="AA153">
        <f>Scherpenzeel!C275</f>
        <v>0</v>
      </c>
      <c r="AB153">
        <f>IF(AA153="",0,IF(COUNTIF($AA$1:AA153,AA153)=1,1,0))</f>
        <v>0</v>
      </c>
      <c r="AC153" t="str">
        <f>IF(AB153=1,COUNTIF($AB$1:AB153,1),"")</f>
        <v/>
      </c>
    </row>
    <row r="154" spans="1:29" x14ac:dyDescent="0.25">
      <c r="A154" s="13" t="str">
        <f>IFERROR(INDEX($AA$1:$AA$387,MATCH(151,$AC$1:$AC$387,0)),"")</f>
        <v/>
      </c>
      <c r="B154" s="13" t="str">
        <f>IF($A154="","",IF(IFERROR(INDEX(Baarn!$F$43:$F$129,MATCH($A154,Baarn!$C$43:$C$129,0)),"")&lt;&gt;"",IFERROR(INDEX(Baarn!$F$43:$F$129,MATCH($A154,Baarn!$C$43:$C$129,0)),""),IF(IFERROR(INDEX(Scherpenzeel!$F$210:$F$309,MATCH($A154,Scherpenzeel!$C$210:$C$309,0)),"")&lt;&gt;"",IFERROR(INDEX(Scherpenzeel!$F$210:$F$309,MATCH($A154,Scherpenzeel!$C$210:$C$309,0)),""),IF(IFERROR(INDEX('4'!$F$210:$F$309,MATCH($A154,'4'!$C$210:$C$309,0)),"")&lt;&gt;"",IFERROR(INDEX('4'!$F$210:$F$309,MATCH($A154,'4'!$C$210:$C$309,0)),""),IFERROR(INDEX('5'!$F$210:$F$309,MATCH($A154,'5'!$C$210:$C$309,0)),"")))))</f>
        <v/>
      </c>
      <c r="C154" s="24" t="str">
        <f>""</f>
        <v/>
      </c>
      <c r="D154" s="15">
        <f>0</f>
        <v>0</v>
      </c>
      <c r="E154" s="24" t="str">
        <f>IF($A154="","",IFERROR(INDEX(Baarn!$A$43:$A$129,MATCH($A154,Baarn!$C$43:$C$129,0)),""))</f>
        <v/>
      </c>
      <c r="F154" s="15">
        <f>IF($A154="",0,IFERROR(INDEX(Baarn!$I$43:$I$129,MATCH($A154,Baarn!$C$43:$C$129,0)),0))</f>
        <v>0</v>
      </c>
      <c r="G154" s="24" t="str">
        <f>IF($A154="","",IFERROR(INDEX(Scherpenzeel!$A$210:$A$309,MATCH($A154,Scherpenzeel!$C$210:$C$309,0)),""))</f>
        <v/>
      </c>
      <c r="H154" s="15">
        <f>IF($A154="",0,IFERROR(INDEX(Scherpenzeel!$I$210:$I$309,MATCH($A154,Scherpenzeel!$C$210:$C$309,0)),0))</f>
        <v>0</v>
      </c>
      <c r="I154" s="24" t="str">
        <f>IF($A154="","",IFERROR(INDEX('4'!$A$210:$A$309,MATCH($A154,'4'!$C$210:$C$309,0)),""))</f>
        <v/>
      </c>
      <c r="J154" s="15">
        <f>IF($A154="",0,IFERROR(INDEX('4'!$I$210:$I$309,MATCH($A154,'4'!$C$210:$C$309,0)),0))</f>
        <v>0</v>
      </c>
      <c r="K154" s="24" t="str">
        <f>IF($A154="","",IFERROR(INDEX('5'!$A$210:$A$309,MATCH($A154,'5'!$C$210:$C$309,0)),""))</f>
        <v/>
      </c>
      <c r="L154" s="15">
        <f>IF($A154="",0,IFERROR(INDEX('5'!$I$210:$I$309,MATCH($A154,'5'!$C$210:$C$309,0)),0))</f>
        <v>0</v>
      </c>
      <c r="M154" s="25" t="str">
        <f>IF($A154="","",D154+F154+H154+J154+L154)</f>
        <v/>
      </c>
      <c r="N154" s="26" t="str">
        <f>IF(OR($A154="",M154="",M154=0),"",RANK(M154,$M$4:$M$203,0))</f>
        <v/>
      </c>
      <c r="AA154">
        <f>Scherpenzeel!C276</f>
        <v>0</v>
      </c>
      <c r="AB154">
        <f>IF(AA154="",0,IF(COUNTIF($AA$1:AA154,AA154)=1,1,0))</f>
        <v>0</v>
      </c>
      <c r="AC154" t="str">
        <f>IF(AB154=1,COUNTIF($AB$1:AB154,1),"")</f>
        <v/>
      </c>
    </row>
    <row r="155" spans="1:29" x14ac:dyDescent="0.25">
      <c r="A155" s="13" t="str">
        <f>IFERROR(INDEX($AA$1:$AA$387,MATCH(152,$AC$1:$AC$387,0)),"")</f>
        <v/>
      </c>
      <c r="B155" s="13" t="str">
        <f>IF($A155="","",IF(IFERROR(INDEX(Baarn!$F$43:$F$129,MATCH($A155,Baarn!$C$43:$C$129,0)),"")&lt;&gt;"",IFERROR(INDEX(Baarn!$F$43:$F$129,MATCH($A155,Baarn!$C$43:$C$129,0)),""),IF(IFERROR(INDEX(Scherpenzeel!$F$210:$F$309,MATCH($A155,Scherpenzeel!$C$210:$C$309,0)),"")&lt;&gt;"",IFERROR(INDEX(Scherpenzeel!$F$210:$F$309,MATCH($A155,Scherpenzeel!$C$210:$C$309,0)),""),IF(IFERROR(INDEX('4'!$F$210:$F$309,MATCH($A155,'4'!$C$210:$C$309,0)),"")&lt;&gt;"",IFERROR(INDEX('4'!$F$210:$F$309,MATCH($A155,'4'!$C$210:$C$309,0)),""),IFERROR(INDEX('5'!$F$210:$F$309,MATCH($A155,'5'!$C$210:$C$309,0)),"")))))</f>
        <v/>
      </c>
      <c r="C155" s="24" t="str">
        <f>""</f>
        <v/>
      </c>
      <c r="D155" s="15">
        <f>0</f>
        <v>0</v>
      </c>
      <c r="E155" s="24" t="str">
        <f>IF($A155="","",IFERROR(INDEX(Baarn!$A$43:$A$129,MATCH($A155,Baarn!$C$43:$C$129,0)),""))</f>
        <v/>
      </c>
      <c r="F155" s="15">
        <f>IF($A155="",0,IFERROR(INDEX(Baarn!$I$43:$I$129,MATCH($A155,Baarn!$C$43:$C$129,0)),0))</f>
        <v>0</v>
      </c>
      <c r="G155" s="24" t="str">
        <f>IF($A155="","",IFERROR(INDEX(Scherpenzeel!$A$210:$A$309,MATCH($A155,Scherpenzeel!$C$210:$C$309,0)),""))</f>
        <v/>
      </c>
      <c r="H155" s="15">
        <f>IF($A155="",0,IFERROR(INDEX(Scherpenzeel!$I$210:$I$309,MATCH($A155,Scherpenzeel!$C$210:$C$309,0)),0))</f>
        <v>0</v>
      </c>
      <c r="I155" s="24" t="str">
        <f>IF($A155="","",IFERROR(INDEX('4'!$A$210:$A$309,MATCH($A155,'4'!$C$210:$C$309,0)),""))</f>
        <v/>
      </c>
      <c r="J155" s="15">
        <f>IF($A155="",0,IFERROR(INDEX('4'!$I$210:$I$309,MATCH($A155,'4'!$C$210:$C$309,0)),0))</f>
        <v>0</v>
      </c>
      <c r="K155" s="24" t="str">
        <f>IF($A155="","",IFERROR(INDEX('5'!$A$210:$A$309,MATCH($A155,'5'!$C$210:$C$309,0)),""))</f>
        <v/>
      </c>
      <c r="L155" s="15">
        <f>IF($A155="",0,IFERROR(INDEX('5'!$I$210:$I$309,MATCH($A155,'5'!$C$210:$C$309,0)),0))</f>
        <v>0</v>
      </c>
      <c r="M155" s="25" t="str">
        <f>IF($A155="","",D155+F155+H155+J155+L155)</f>
        <v/>
      </c>
      <c r="N155" s="26" t="str">
        <f>IF(OR($A155="",M155="",M155=0),"",RANK(M155,$M$4:$M$203,0))</f>
        <v/>
      </c>
      <c r="AA155">
        <f>Scherpenzeel!C277</f>
        <v>0</v>
      </c>
      <c r="AB155">
        <f>IF(AA155="",0,IF(COUNTIF($AA$1:AA155,AA155)=1,1,0))</f>
        <v>0</v>
      </c>
      <c r="AC155" t="str">
        <f>IF(AB155=1,COUNTIF($AB$1:AB155,1),"")</f>
        <v/>
      </c>
    </row>
    <row r="156" spans="1:29" x14ac:dyDescent="0.25">
      <c r="A156" s="13" t="str">
        <f>IFERROR(INDEX($AA$1:$AA$387,MATCH(153,$AC$1:$AC$387,0)),"")</f>
        <v/>
      </c>
      <c r="B156" s="13" t="str">
        <f>IF($A156="","",IF(IFERROR(INDEX(Baarn!$F$43:$F$129,MATCH($A156,Baarn!$C$43:$C$129,0)),"")&lt;&gt;"",IFERROR(INDEX(Baarn!$F$43:$F$129,MATCH($A156,Baarn!$C$43:$C$129,0)),""),IF(IFERROR(INDEX(Scherpenzeel!$F$210:$F$309,MATCH($A156,Scherpenzeel!$C$210:$C$309,0)),"")&lt;&gt;"",IFERROR(INDEX(Scherpenzeel!$F$210:$F$309,MATCH($A156,Scherpenzeel!$C$210:$C$309,0)),""),IF(IFERROR(INDEX('4'!$F$210:$F$309,MATCH($A156,'4'!$C$210:$C$309,0)),"")&lt;&gt;"",IFERROR(INDEX('4'!$F$210:$F$309,MATCH($A156,'4'!$C$210:$C$309,0)),""),IFERROR(INDEX('5'!$F$210:$F$309,MATCH($A156,'5'!$C$210:$C$309,0)),"")))))</f>
        <v/>
      </c>
      <c r="C156" s="24" t="str">
        <f>""</f>
        <v/>
      </c>
      <c r="D156" s="15">
        <f>0</f>
        <v>0</v>
      </c>
      <c r="E156" s="24" t="str">
        <f>IF($A156="","",IFERROR(INDEX(Baarn!$A$43:$A$129,MATCH($A156,Baarn!$C$43:$C$129,0)),""))</f>
        <v/>
      </c>
      <c r="F156" s="15">
        <f>IF($A156="",0,IFERROR(INDEX(Baarn!$I$43:$I$129,MATCH($A156,Baarn!$C$43:$C$129,0)),0))</f>
        <v>0</v>
      </c>
      <c r="G156" s="24" t="str">
        <f>IF($A156="","",IFERROR(INDEX(Scherpenzeel!$A$210:$A$309,MATCH($A156,Scherpenzeel!$C$210:$C$309,0)),""))</f>
        <v/>
      </c>
      <c r="H156" s="15">
        <f>IF($A156="",0,IFERROR(INDEX(Scherpenzeel!$I$210:$I$309,MATCH($A156,Scherpenzeel!$C$210:$C$309,0)),0))</f>
        <v>0</v>
      </c>
      <c r="I156" s="24" t="str">
        <f>IF($A156="","",IFERROR(INDEX('4'!$A$210:$A$309,MATCH($A156,'4'!$C$210:$C$309,0)),""))</f>
        <v/>
      </c>
      <c r="J156" s="15">
        <f>IF($A156="",0,IFERROR(INDEX('4'!$I$210:$I$309,MATCH($A156,'4'!$C$210:$C$309,0)),0))</f>
        <v>0</v>
      </c>
      <c r="K156" s="24" t="str">
        <f>IF($A156="","",IFERROR(INDEX('5'!$A$210:$A$309,MATCH($A156,'5'!$C$210:$C$309,0)),""))</f>
        <v/>
      </c>
      <c r="L156" s="15">
        <f>IF($A156="",0,IFERROR(INDEX('5'!$I$210:$I$309,MATCH($A156,'5'!$C$210:$C$309,0)),0))</f>
        <v>0</v>
      </c>
      <c r="M156" s="25" t="str">
        <f>IF($A156="","",D156+F156+H156+J156+L156)</f>
        <v/>
      </c>
      <c r="N156" s="26" t="str">
        <f>IF(OR($A156="",M156="",M156=0),"",RANK(M156,$M$4:$M$203,0))</f>
        <v/>
      </c>
      <c r="AA156">
        <f>Scherpenzeel!C278</f>
        <v>0</v>
      </c>
      <c r="AB156">
        <f>IF(AA156="",0,IF(COUNTIF($AA$1:AA156,AA156)=1,1,0))</f>
        <v>0</v>
      </c>
      <c r="AC156" t="str">
        <f>IF(AB156=1,COUNTIF($AB$1:AB156,1),"")</f>
        <v/>
      </c>
    </row>
    <row r="157" spans="1:29" x14ac:dyDescent="0.25">
      <c r="A157" s="13" t="str">
        <f>IFERROR(INDEX($AA$1:$AA$387,MATCH(154,$AC$1:$AC$387,0)),"")</f>
        <v/>
      </c>
      <c r="B157" s="13" t="str">
        <f>IF($A157="","",IF(IFERROR(INDEX(Baarn!$F$43:$F$129,MATCH($A157,Baarn!$C$43:$C$129,0)),"")&lt;&gt;"",IFERROR(INDEX(Baarn!$F$43:$F$129,MATCH($A157,Baarn!$C$43:$C$129,0)),""),IF(IFERROR(INDEX(Scherpenzeel!$F$210:$F$309,MATCH($A157,Scherpenzeel!$C$210:$C$309,0)),"")&lt;&gt;"",IFERROR(INDEX(Scherpenzeel!$F$210:$F$309,MATCH($A157,Scherpenzeel!$C$210:$C$309,0)),""),IF(IFERROR(INDEX('4'!$F$210:$F$309,MATCH($A157,'4'!$C$210:$C$309,0)),"")&lt;&gt;"",IFERROR(INDEX('4'!$F$210:$F$309,MATCH($A157,'4'!$C$210:$C$309,0)),""),IFERROR(INDEX('5'!$F$210:$F$309,MATCH($A157,'5'!$C$210:$C$309,0)),"")))))</f>
        <v/>
      </c>
      <c r="C157" s="24" t="str">
        <f>""</f>
        <v/>
      </c>
      <c r="D157" s="15">
        <f>0</f>
        <v>0</v>
      </c>
      <c r="E157" s="24" t="str">
        <f>IF($A157="","",IFERROR(INDEX(Baarn!$A$43:$A$129,MATCH($A157,Baarn!$C$43:$C$129,0)),""))</f>
        <v/>
      </c>
      <c r="F157" s="15">
        <f>IF($A157="",0,IFERROR(INDEX(Baarn!$I$43:$I$129,MATCH($A157,Baarn!$C$43:$C$129,0)),0))</f>
        <v>0</v>
      </c>
      <c r="G157" s="24" t="str">
        <f>IF($A157="","",IFERROR(INDEX(Scherpenzeel!$A$210:$A$309,MATCH($A157,Scherpenzeel!$C$210:$C$309,0)),""))</f>
        <v/>
      </c>
      <c r="H157" s="15">
        <f>IF($A157="",0,IFERROR(INDEX(Scherpenzeel!$I$210:$I$309,MATCH($A157,Scherpenzeel!$C$210:$C$309,0)),0))</f>
        <v>0</v>
      </c>
      <c r="I157" s="24" t="str">
        <f>IF($A157="","",IFERROR(INDEX('4'!$A$210:$A$309,MATCH($A157,'4'!$C$210:$C$309,0)),""))</f>
        <v/>
      </c>
      <c r="J157" s="15">
        <f>IF($A157="",0,IFERROR(INDEX('4'!$I$210:$I$309,MATCH($A157,'4'!$C$210:$C$309,0)),0))</f>
        <v>0</v>
      </c>
      <c r="K157" s="24" t="str">
        <f>IF($A157="","",IFERROR(INDEX('5'!$A$210:$A$309,MATCH($A157,'5'!$C$210:$C$309,0)),""))</f>
        <v/>
      </c>
      <c r="L157" s="15">
        <f>IF($A157="",0,IFERROR(INDEX('5'!$I$210:$I$309,MATCH($A157,'5'!$C$210:$C$309,0)),0))</f>
        <v>0</v>
      </c>
      <c r="M157" s="25" t="str">
        <f>IF($A157="","",D157+F157+H157+J157+L157)</f>
        <v/>
      </c>
      <c r="N157" s="26" t="str">
        <f>IF(OR($A157="",M157="",M157=0),"",RANK(M157,$M$4:$M$203,0))</f>
        <v/>
      </c>
      <c r="AA157">
        <f>Scherpenzeel!C279</f>
        <v>0</v>
      </c>
      <c r="AB157">
        <f>IF(AA157="",0,IF(COUNTIF($AA$1:AA157,AA157)=1,1,0))</f>
        <v>0</v>
      </c>
      <c r="AC157" t="str">
        <f>IF(AB157=1,COUNTIF($AB$1:AB157,1),"")</f>
        <v/>
      </c>
    </row>
    <row r="158" spans="1:29" x14ac:dyDescent="0.25">
      <c r="A158" s="13" t="str">
        <f>IFERROR(INDEX($AA$1:$AA$387,MATCH(155,$AC$1:$AC$387,0)),"")</f>
        <v/>
      </c>
      <c r="B158" s="13" t="str">
        <f>IF($A158="","",IF(IFERROR(INDEX(Baarn!$F$43:$F$129,MATCH($A158,Baarn!$C$43:$C$129,0)),"")&lt;&gt;"",IFERROR(INDEX(Baarn!$F$43:$F$129,MATCH($A158,Baarn!$C$43:$C$129,0)),""),IF(IFERROR(INDEX(Scherpenzeel!$F$210:$F$309,MATCH($A158,Scherpenzeel!$C$210:$C$309,0)),"")&lt;&gt;"",IFERROR(INDEX(Scherpenzeel!$F$210:$F$309,MATCH($A158,Scherpenzeel!$C$210:$C$309,0)),""),IF(IFERROR(INDEX('4'!$F$210:$F$309,MATCH($A158,'4'!$C$210:$C$309,0)),"")&lt;&gt;"",IFERROR(INDEX('4'!$F$210:$F$309,MATCH($A158,'4'!$C$210:$C$309,0)),""),IFERROR(INDEX('5'!$F$210:$F$309,MATCH($A158,'5'!$C$210:$C$309,0)),"")))))</f>
        <v/>
      </c>
      <c r="C158" s="24" t="str">
        <f>""</f>
        <v/>
      </c>
      <c r="D158" s="15">
        <f>0</f>
        <v>0</v>
      </c>
      <c r="E158" s="24" t="str">
        <f>IF($A158="","",IFERROR(INDEX(Baarn!$A$43:$A$129,MATCH($A158,Baarn!$C$43:$C$129,0)),""))</f>
        <v/>
      </c>
      <c r="F158" s="15">
        <f>IF($A158="",0,IFERROR(INDEX(Baarn!$I$43:$I$129,MATCH($A158,Baarn!$C$43:$C$129,0)),0))</f>
        <v>0</v>
      </c>
      <c r="G158" s="24" t="str">
        <f>IF($A158="","",IFERROR(INDEX(Scherpenzeel!$A$210:$A$309,MATCH($A158,Scherpenzeel!$C$210:$C$309,0)),""))</f>
        <v/>
      </c>
      <c r="H158" s="15">
        <f>IF($A158="",0,IFERROR(INDEX(Scherpenzeel!$I$210:$I$309,MATCH($A158,Scherpenzeel!$C$210:$C$309,0)),0))</f>
        <v>0</v>
      </c>
      <c r="I158" s="24" t="str">
        <f>IF($A158="","",IFERROR(INDEX('4'!$A$210:$A$309,MATCH($A158,'4'!$C$210:$C$309,0)),""))</f>
        <v/>
      </c>
      <c r="J158" s="15">
        <f>IF($A158="",0,IFERROR(INDEX('4'!$I$210:$I$309,MATCH($A158,'4'!$C$210:$C$309,0)),0))</f>
        <v>0</v>
      </c>
      <c r="K158" s="24" t="str">
        <f>IF($A158="","",IFERROR(INDEX('5'!$A$210:$A$309,MATCH($A158,'5'!$C$210:$C$309,0)),""))</f>
        <v/>
      </c>
      <c r="L158" s="15">
        <f>IF($A158="",0,IFERROR(INDEX('5'!$I$210:$I$309,MATCH($A158,'5'!$C$210:$C$309,0)),0))</f>
        <v>0</v>
      </c>
      <c r="M158" s="25" t="str">
        <f>IF($A158="","",D158+F158+H158+J158+L158)</f>
        <v/>
      </c>
      <c r="N158" s="26" t="str">
        <f>IF(OR($A158="",M158="",M158=0),"",RANK(M158,$M$4:$M$203,0))</f>
        <v/>
      </c>
      <c r="AA158">
        <f>Scherpenzeel!C280</f>
        <v>0</v>
      </c>
      <c r="AB158">
        <f>IF(AA158="",0,IF(COUNTIF($AA$1:AA158,AA158)=1,1,0))</f>
        <v>0</v>
      </c>
      <c r="AC158" t="str">
        <f>IF(AB158=1,COUNTIF($AB$1:AB158,1),"")</f>
        <v/>
      </c>
    </row>
    <row r="159" spans="1:29" x14ac:dyDescent="0.25">
      <c r="A159" s="13" t="str">
        <f>IFERROR(INDEX($AA$1:$AA$387,MATCH(156,$AC$1:$AC$387,0)),"")</f>
        <v/>
      </c>
      <c r="B159" s="13" t="str">
        <f>IF($A159="","",IF(IFERROR(INDEX(Baarn!$F$43:$F$129,MATCH($A159,Baarn!$C$43:$C$129,0)),"")&lt;&gt;"",IFERROR(INDEX(Baarn!$F$43:$F$129,MATCH($A159,Baarn!$C$43:$C$129,0)),""),IF(IFERROR(INDEX(Scherpenzeel!$F$210:$F$309,MATCH($A159,Scherpenzeel!$C$210:$C$309,0)),"")&lt;&gt;"",IFERROR(INDEX(Scherpenzeel!$F$210:$F$309,MATCH($A159,Scherpenzeel!$C$210:$C$309,0)),""),IF(IFERROR(INDEX('4'!$F$210:$F$309,MATCH($A159,'4'!$C$210:$C$309,0)),"")&lt;&gt;"",IFERROR(INDEX('4'!$F$210:$F$309,MATCH($A159,'4'!$C$210:$C$309,0)),""),IFERROR(INDEX('5'!$F$210:$F$309,MATCH($A159,'5'!$C$210:$C$309,0)),"")))))</f>
        <v/>
      </c>
      <c r="C159" s="24" t="str">
        <f>""</f>
        <v/>
      </c>
      <c r="D159" s="15">
        <f>0</f>
        <v>0</v>
      </c>
      <c r="E159" s="24" t="str">
        <f>IF($A159="","",IFERROR(INDEX(Baarn!$A$43:$A$129,MATCH($A159,Baarn!$C$43:$C$129,0)),""))</f>
        <v/>
      </c>
      <c r="F159" s="15">
        <f>IF($A159="",0,IFERROR(INDEX(Baarn!$I$43:$I$129,MATCH($A159,Baarn!$C$43:$C$129,0)),0))</f>
        <v>0</v>
      </c>
      <c r="G159" s="24" t="str">
        <f>IF($A159="","",IFERROR(INDEX(Scherpenzeel!$A$210:$A$309,MATCH($A159,Scherpenzeel!$C$210:$C$309,0)),""))</f>
        <v/>
      </c>
      <c r="H159" s="15">
        <f>IF($A159="",0,IFERROR(INDEX(Scherpenzeel!$I$210:$I$309,MATCH($A159,Scherpenzeel!$C$210:$C$309,0)),0))</f>
        <v>0</v>
      </c>
      <c r="I159" s="24" t="str">
        <f>IF($A159="","",IFERROR(INDEX('4'!$A$210:$A$309,MATCH($A159,'4'!$C$210:$C$309,0)),""))</f>
        <v/>
      </c>
      <c r="J159" s="15">
        <f>IF($A159="",0,IFERROR(INDEX('4'!$I$210:$I$309,MATCH($A159,'4'!$C$210:$C$309,0)),0))</f>
        <v>0</v>
      </c>
      <c r="K159" s="24" t="str">
        <f>IF($A159="","",IFERROR(INDEX('5'!$A$210:$A$309,MATCH($A159,'5'!$C$210:$C$309,0)),""))</f>
        <v/>
      </c>
      <c r="L159" s="15">
        <f>IF($A159="",0,IFERROR(INDEX('5'!$I$210:$I$309,MATCH($A159,'5'!$C$210:$C$309,0)),0))</f>
        <v>0</v>
      </c>
      <c r="M159" s="25" t="str">
        <f>IF($A159="","",D159+F159+H159+J159+L159)</f>
        <v/>
      </c>
      <c r="N159" s="26" t="str">
        <f>IF(OR($A159="",M159="",M159=0),"",RANK(M159,$M$4:$M$203,0))</f>
        <v/>
      </c>
      <c r="AA159">
        <f>Scherpenzeel!C281</f>
        <v>0</v>
      </c>
      <c r="AB159">
        <f>IF(AA159="",0,IF(COUNTIF($AA$1:AA159,AA159)=1,1,0))</f>
        <v>0</v>
      </c>
      <c r="AC159" t="str">
        <f>IF(AB159=1,COUNTIF($AB$1:AB159,1),"")</f>
        <v/>
      </c>
    </row>
    <row r="160" spans="1:29" x14ac:dyDescent="0.25">
      <c r="A160" s="13" t="str">
        <f>IFERROR(INDEX($AA$1:$AA$387,MATCH(157,$AC$1:$AC$387,0)),"")</f>
        <v/>
      </c>
      <c r="B160" s="13" t="str">
        <f>IF($A160="","",IF(IFERROR(INDEX(Baarn!$F$43:$F$129,MATCH($A160,Baarn!$C$43:$C$129,0)),"")&lt;&gt;"",IFERROR(INDEX(Baarn!$F$43:$F$129,MATCH($A160,Baarn!$C$43:$C$129,0)),""),IF(IFERROR(INDEX(Scherpenzeel!$F$210:$F$309,MATCH($A160,Scherpenzeel!$C$210:$C$309,0)),"")&lt;&gt;"",IFERROR(INDEX(Scherpenzeel!$F$210:$F$309,MATCH($A160,Scherpenzeel!$C$210:$C$309,0)),""),IF(IFERROR(INDEX('4'!$F$210:$F$309,MATCH($A160,'4'!$C$210:$C$309,0)),"")&lt;&gt;"",IFERROR(INDEX('4'!$F$210:$F$309,MATCH($A160,'4'!$C$210:$C$309,0)),""),IFERROR(INDEX('5'!$F$210:$F$309,MATCH($A160,'5'!$C$210:$C$309,0)),"")))))</f>
        <v/>
      </c>
      <c r="C160" s="24" t="str">
        <f>""</f>
        <v/>
      </c>
      <c r="D160" s="15">
        <f>0</f>
        <v>0</v>
      </c>
      <c r="E160" s="24" t="str">
        <f>IF($A160="","",IFERROR(INDEX(Baarn!$A$43:$A$129,MATCH($A160,Baarn!$C$43:$C$129,0)),""))</f>
        <v/>
      </c>
      <c r="F160" s="15">
        <f>IF($A160="",0,IFERROR(INDEX(Baarn!$I$43:$I$129,MATCH($A160,Baarn!$C$43:$C$129,0)),0))</f>
        <v>0</v>
      </c>
      <c r="G160" s="24" t="str">
        <f>IF($A160="","",IFERROR(INDEX(Scherpenzeel!$A$210:$A$309,MATCH($A160,Scherpenzeel!$C$210:$C$309,0)),""))</f>
        <v/>
      </c>
      <c r="H160" s="15">
        <f>IF($A160="",0,IFERROR(INDEX(Scherpenzeel!$I$210:$I$309,MATCH($A160,Scherpenzeel!$C$210:$C$309,0)),0))</f>
        <v>0</v>
      </c>
      <c r="I160" s="24" t="str">
        <f>IF($A160="","",IFERROR(INDEX('4'!$A$210:$A$309,MATCH($A160,'4'!$C$210:$C$309,0)),""))</f>
        <v/>
      </c>
      <c r="J160" s="15">
        <f>IF($A160="",0,IFERROR(INDEX('4'!$I$210:$I$309,MATCH($A160,'4'!$C$210:$C$309,0)),0))</f>
        <v>0</v>
      </c>
      <c r="K160" s="24" t="str">
        <f>IF($A160="","",IFERROR(INDEX('5'!$A$210:$A$309,MATCH($A160,'5'!$C$210:$C$309,0)),""))</f>
        <v/>
      </c>
      <c r="L160" s="15">
        <f>IF($A160="",0,IFERROR(INDEX('5'!$I$210:$I$309,MATCH($A160,'5'!$C$210:$C$309,0)),0))</f>
        <v>0</v>
      </c>
      <c r="M160" s="25" t="str">
        <f>IF($A160="","",D160+F160+H160+J160+L160)</f>
        <v/>
      </c>
      <c r="N160" s="26" t="str">
        <f>IF(OR($A160="",M160="",M160=0),"",RANK(M160,$M$4:$M$203,0))</f>
        <v/>
      </c>
      <c r="AA160">
        <f>Scherpenzeel!C282</f>
        <v>0</v>
      </c>
      <c r="AB160">
        <f>IF(AA160="",0,IF(COUNTIF($AA$1:AA160,AA160)=1,1,0))</f>
        <v>0</v>
      </c>
      <c r="AC160" t="str">
        <f>IF(AB160=1,COUNTIF($AB$1:AB160,1),"")</f>
        <v/>
      </c>
    </row>
    <row r="161" spans="1:29" x14ac:dyDescent="0.25">
      <c r="A161" s="13" t="str">
        <f>IFERROR(INDEX($AA$1:$AA$387,MATCH(158,$AC$1:$AC$387,0)),"")</f>
        <v/>
      </c>
      <c r="B161" s="13" t="str">
        <f>IF($A161="","",IF(IFERROR(INDEX(Baarn!$F$43:$F$129,MATCH($A161,Baarn!$C$43:$C$129,0)),"")&lt;&gt;"",IFERROR(INDEX(Baarn!$F$43:$F$129,MATCH($A161,Baarn!$C$43:$C$129,0)),""),IF(IFERROR(INDEX(Scherpenzeel!$F$210:$F$309,MATCH($A161,Scherpenzeel!$C$210:$C$309,0)),"")&lt;&gt;"",IFERROR(INDEX(Scherpenzeel!$F$210:$F$309,MATCH($A161,Scherpenzeel!$C$210:$C$309,0)),""),IF(IFERROR(INDEX('4'!$F$210:$F$309,MATCH($A161,'4'!$C$210:$C$309,0)),"")&lt;&gt;"",IFERROR(INDEX('4'!$F$210:$F$309,MATCH($A161,'4'!$C$210:$C$309,0)),""),IFERROR(INDEX('5'!$F$210:$F$309,MATCH($A161,'5'!$C$210:$C$309,0)),"")))))</f>
        <v/>
      </c>
      <c r="C161" s="24" t="str">
        <f>""</f>
        <v/>
      </c>
      <c r="D161" s="15">
        <f>0</f>
        <v>0</v>
      </c>
      <c r="E161" s="24" t="str">
        <f>IF($A161="","",IFERROR(INDEX(Baarn!$A$43:$A$129,MATCH($A161,Baarn!$C$43:$C$129,0)),""))</f>
        <v/>
      </c>
      <c r="F161" s="15">
        <f>IF($A161="",0,IFERROR(INDEX(Baarn!$I$43:$I$129,MATCH($A161,Baarn!$C$43:$C$129,0)),0))</f>
        <v>0</v>
      </c>
      <c r="G161" s="24" t="str">
        <f>IF($A161="","",IFERROR(INDEX(Scherpenzeel!$A$210:$A$309,MATCH($A161,Scherpenzeel!$C$210:$C$309,0)),""))</f>
        <v/>
      </c>
      <c r="H161" s="15">
        <f>IF($A161="",0,IFERROR(INDEX(Scherpenzeel!$I$210:$I$309,MATCH($A161,Scherpenzeel!$C$210:$C$309,0)),0))</f>
        <v>0</v>
      </c>
      <c r="I161" s="24" t="str">
        <f>IF($A161="","",IFERROR(INDEX('4'!$A$210:$A$309,MATCH($A161,'4'!$C$210:$C$309,0)),""))</f>
        <v/>
      </c>
      <c r="J161" s="15">
        <f>IF($A161="",0,IFERROR(INDEX('4'!$I$210:$I$309,MATCH($A161,'4'!$C$210:$C$309,0)),0))</f>
        <v>0</v>
      </c>
      <c r="K161" s="24" t="str">
        <f>IF($A161="","",IFERROR(INDEX('5'!$A$210:$A$309,MATCH($A161,'5'!$C$210:$C$309,0)),""))</f>
        <v/>
      </c>
      <c r="L161" s="15">
        <f>IF($A161="",0,IFERROR(INDEX('5'!$I$210:$I$309,MATCH($A161,'5'!$C$210:$C$309,0)),0))</f>
        <v>0</v>
      </c>
      <c r="M161" s="25" t="str">
        <f>IF($A161="","",D161+F161+H161+J161+L161)</f>
        <v/>
      </c>
      <c r="N161" s="26" t="str">
        <f>IF(OR($A161="",M161="",M161=0),"",RANK(M161,$M$4:$M$203,0))</f>
        <v/>
      </c>
      <c r="AA161">
        <f>Scherpenzeel!C283</f>
        <v>0</v>
      </c>
      <c r="AB161">
        <f>IF(AA161="",0,IF(COUNTIF($AA$1:AA161,AA161)=1,1,0))</f>
        <v>0</v>
      </c>
      <c r="AC161" t="str">
        <f>IF(AB161=1,COUNTIF($AB$1:AB161,1),"")</f>
        <v/>
      </c>
    </row>
    <row r="162" spans="1:29" x14ac:dyDescent="0.25">
      <c r="A162" s="13" t="str">
        <f>IFERROR(INDEX($AA$1:$AA$387,MATCH(159,$AC$1:$AC$387,0)),"")</f>
        <v/>
      </c>
      <c r="B162" s="13" t="str">
        <f>IF($A162="","",IF(IFERROR(INDEX(Baarn!$F$43:$F$129,MATCH($A162,Baarn!$C$43:$C$129,0)),"")&lt;&gt;"",IFERROR(INDEX(Baarn!$F$43:$F$129,MATCH($A162,Baarn!$C$43:$C$129,0)),""),IF(IFERROR(INDEX(Scherpenzeel!$F$210:$F$309,MATCH($A162,Scherpenzeel!$C$210:$C$309,0)),"")&lt;&gt;"",IFERROR(INDEX(Scherpenzeel!$F$210:$F$309,MATCH($A162,Scherpenzeel!$C$210:$C$309,0)),""),IF(IFERROR(INDEX('4'!$F$210:$F$309,MATCH($A162,'4'!$C$210:$C$309,0)),"")&lt;&gt;"",IFERROR(INDEX('4'!$F$210:$F$309,MATCH($A162,'4'!$C$210:$C$309,0)),""),IFERROR(INDEX('5'!$F$210:$F$309,MATCH($A162,'5'!$C$210:$C$309,0)),"")))))</f>
        <v/>
      </c>
      <c r="C162" s="24" t="str">
        <f>""</f>
        <v/>
      </c>
      <c r="D162" s="15">
        <f>0</f>
        <v>0</v>
      </c>
      <c r="E162" s="24" t="str">
        <f>IF($A162="","",IFERROR(INDEX(Baarn!$A$43:$A$129,MATCH($A162,Baarn!$C$43:$C$129,0)),""))</f>
        <v/>
      </c>
      <c r="F162" s="15">
        <f>IF($A162="",0,IFERROR(INDEX(Baarn!$I$43:$I$129,MATCH($A162,Baarn!$C$43:$C$129,0)),0))</f>
        <v>0</v>
      </c>
      <c r="G162" s="24" t="str">
        <f>IF($A162="","",IFERROR(INDEX(Scherpenzeel!$A$210:$A$309,MATCH($A162,Scherpenzeel!$C$210:$C$309,0)),""))</f>
        <v/>
      </c>
      <c r="H162" s="15">
        <f>IF($A162="",0,IFERROR(INDEX(Scherpenzeel!$I$210:$I$309,MATCH($A162,Scherpenzeel!$C$210:$C$309,0)),0))</f>
        <v>0</v>
      </c>
      <c r="I162" s="24" t="str">
        <f>IF($A162="","",IFERROR(INDEX('4'!$A$210:$A$309,MATCH($A162,'4'!$C$210:$C$309,0)),""))</f>
        <v/>
      </c>
      <c r="J162" s="15">
        <f>IF($A162="",0,IFERROR(INDEX('4'!$I$210:$I$309,MATCH($A162,'4'!$C$210:$C$309,0)),0))</f>
        <v>0</v>
      </c>
      <c r="K162" s="24" t="str">
        <f>IF($A162="","",IFERROR(INDEX('5'!$A$210:$A$309,MATCH($A162,'5'!$C$210:$C$309,0)),""))</f>
        <v/>
      </c>
      <c r="L162" s="15">
        <f>IF($A162="",0,IFERROR(INDEX('5'!$I$210:$I$309,MATCH($A162,'5'!$C$210:$C$309,0)),0))</f>
        <v>0</v>
      </c>
      <c r="M162" s="25" t="str">
        <f>IF($A162="","",D162+F162+H162+J162+L162)</f>
        <v/>
      </c>
      <c r="N162" s="26" t="str">
        <f>IF(OR($A162="",M162="",M162=0),"",RANK(M162,$M$4:$M$203,0))</f>
        <v/>
      </c>
      <c r="AA162">
        <f>Scherpenzeel!C284</f>
        <v>0</v>
      </c>
      <c r="AB162">
        <f>IF(AA162="",0,IF(COUNTIF($AA$1:AA162,AA162)=1,1,0))</f>
        <v>0</v>
      </c>
      <c r="AC162" t="str">
        <f>IF(AB162=1,COUNTIF($AB$1:AB162,1),"")</f>
        <v/>
      </c>
    </row>
    <row r="163" spans="1:29" x14ac:dyDescent="0.25">
      <c r="A163" s="13" t="str">
        <f>IFERROR(INDEX($AA$1:$AA$387,MATCH(160,$AC$1:$AC$387,0)),"")</f>
        <v/>
      </c>
      <c r="B163" s="13" t="str">
        <f>IF($A163="","",IF(IFERROR(INDEX(Baarn!$F$43:$F$129,MATCH($A163,Baarn!$C$43:$C$129,0)),"")&lt;&gt;"",IFERROR(INDEX(Baarn!$F$43:$F$129,MATCH($A163,Baarn!$C$43:$C$129,0)),""),IF(IFERROR(INDEX(Scherpenzeel!$F$210:$F$309,MATCH($A163,Scherpenzeel!$C$210:$C$309,0)),"")&lt;&gt;"",IFERROR(INDEX(Scherpenzeel!$F$210:$F$309,MATCH($A163,Scherpenzeel!$C$210:$C$309,0)),""),IF(IFERROR(INDEX('4'!$F$210:$F$309,MATCH($A163,'4'!$C$210:$C$309,0)),"")&lt;&gt;"",IFERROR(INDEX('4'!$F$210:$F$309,MATCH($A163,'4'!$C$210:$C$309,0)),""),IFERROR(INDEX('5'!$F$210:$F$309,MATCH($A163,'5'!$C$210:$C$309,0)),"")))))</f>
        <v/>
      </c>
      <c r="C163" s="24" t="str">
        <f>""</f>
        <v/>
      </c>
      <c r="D163" s="15">
        <f>0</f>
        <v>0</v>
      </c>
      <c r="E163" s="24" t="str">
        <f>IF($A163="","",IFERROR(INDEX(Baarn!$A$43:$A$129,MATCH($A163,Baarn!$C$43:$C$129,0)),""))</f>
        <v/>
      </c>
      <c r="F163" s="15">
        <f>IF($A163="",0,IFERROR(INDEX(Baarn!$I$43:$I$129,MATCH($A163,Baarn!$C$43:$C$129,0)),0))</f>
        <v>0</v>
      </c>
      <c r="G163" s="24" t="str">
        <f>IF($A163="","",IFERROR(INDEX(Scherpenzeel!$A$210:$A$309,MATCH($A163,Scherpenzeel!$C$210:$C$309,0)),""))</f>
        <v/>
      </c>
      <c r="H163" s="15">
        <f>IF($A163="",0,IFERROR(INDEX(Scherpenzeel!$I$210:$I$309,MATCH($A163,Scherpenzeel!$C$210:$C$309,0)),0))</f>
        <v>0</v>
      </c>
      <c r="I163" s="24" t="str">
        <f>IF($A163="","",IFERROR(INDEX('4'!$A$210:$A$309,MATCH($A163,'4'!$C$210:$C$309,0)),""))</f>
        <v/>
      </c>
      <c r="J163" s="15">
        <f>IF($A163="",0,IFERROR(INDEX('4'!$I$210:$I$309,MATCH($A163,'4'!$C$210:$C$309,0)),0))</f>
        <v>0</v>
      </c>
      <c r="K163" s="24" t="str">
        <f>IF($A163="","",IFERROR(INDEX('5'!$A$210:$A$309,MATCH($A163,'5'!$C$210:$C$309,0)),""))</f>
        <v/>
      </c>
      <c r="L163" s="15">
        <f>IF($A163="",0,IFERROR(INDEX('5'!$I$210:$I$309,MATCH($A163,'5'!$C$210:$C$309,0)),0))</f>
        <v>0</v>
      </c>
      <c r="M163" s="25" t="str">
        <f>IF($A163="","",D163+F163+H163+J163+L163)</f>
        <v/>
      </c>
      <c r="N163" s="26" t="str">
        <f>IF(OR($A163="",M163="",M163=0),"",RANK(M163,$M$4:$M$203,0))</f>
        <v/>
      </c>
      <c r="AA163">
        <f>Scherpenzeel!C285</f>
        <v>0</v>
      </c>
      <c r="AB163">
        <f>IF(AA163="",0,IF(COUNTIF($AA$1:AA163,AA163)=1,1,0))</f>
        <v>0</v>
      </c>
      <c r="AC163" t="str">
        <f>IF(AB163=1,COUNTIF($AB$1:AB163,1),"")</f>
        <v/>
      </c>
    </row>
    <row r="164" spans="1:29" x14ac:dyDescent="0.25">
      <c r="A164" s="13" t="str">
        <f>IFERROR(INDEX($AA$1:$AA$387,MATCH(161,$AC$1:$AC$387,0)),"")</f>
        <v/>
      </c>
      <c r="B164" s="13" t="str">
        <f>IF($A164="","",IF(IFERROR(INDEX(Baarn!$F$43:$F$129,MATCH($A164,Baarn!$C$43:$C$129,0)),"")&lt;&gt;"",IFERROR(INDEX(Baarn!$F$43:$F$129,MATCH($A164,Baarn!$C$43:$C$129,0)),""),IF(IFERROR(INDEX(Scherpenzeel!$F$210:$F$309,MATCH($A164,Scherpenzeel!$C$210:$C$309,0)),"")&lt;&gt;"",IFERROR(INDEX(Scherpenzeel!$F$210:$F$309,MATCH($A164,Scherpenzeel!$C$210:$C$309,0)),""),IF(IFERROR(INDEX('4'!$F$210:$F$309,MATCH($A164,'4'!$C$210:$C$309,0)),"")&lt;&gt;"",IFERROR(INDEX('4'!$F$210:$F$309,MATCH($A164,'4'!$C$210:$C$309,0)),""),IFERROR(INDEX('5'!$F$210:$F$309,MATCH($A164,'5'!$C$210:$C$309,0)),"")))))</f>
        <v/>
      </c>
      <c r="C164" s="24" t="str">
        <f>""</f>
        <v/>
      </c>
      <c r="D164" s="15">
        <f>0</f>
        <v>0</v>
      </c>
      <c r="E164" s="24" t="str">
        <f>IF($A164="","",IFERROR(INDEX(Baarn!$A$43:$A$129,MATCH($A164,Baarn!$C$43:$C$129,0)),""))</f>
        <v/>
      </c>
      <c r="F164" s="15">
        <f>IF($A164="",0,IFERROR(INDEX(Baarn!$I$43:$I$129,MATCH($A164,Baarn!$C$43:$C$129,0)),0))</f>
        <v>0</v>
      </c>
      <c r="G164" s="24" t="str">
        <f>IF($A164="","",IFERROR(INDEX(Scherpenzeel!$A$210:$A$309,MATCH($A164,Scherpenzeel!$C$210:$C$309,0)),""))</f>
        <v/>
      </c>
      <c r="H164" s="15">
        <f>IF($A164="",0,IFERROR(INDEX(Scherpenzeel!$I$210:$I$309,MATCH($A164,Scherpenzeel!$C$210:$C$309,0)),0))</f>
        <v>0</v>
      </c>
      <c r="I164" s="24" t="str">
        <f>IF($A164="","",IFERROR(INDEX('4'!$A$210:$A$309,MATCH($A164,'4'!$C$210:$C$309,0)),""))</f>
        <v/>
      </c>
      <c r="J164" s="15">
        <f>IF($A164="",0,IFERROR(INDEX('4'!$I$210:$I$309,MATCH($A164,'4'!$C$210:$C$309,0)),0))</f>
        <v>0</v>
      </c>
      <c r="K164" s="24" t="str">
        <f>IF($A164="","",IFERROR(INDEX('5'!$A$210:$A$309,MATCH($A164,'5'!$C$210:$C$309,0)),""))</f>
        <v/>
      </c>
      <c r="L164" s="15">
        <f>IF($A164="",0,IFERROR(INDEX('5'!$I$210:$I$309,MATCH($A164,'5'!$C$210:$C$309,0)),0))</f>
        <v>0</v>
      </c>
      <c r="M164" s="25" t="str">
        <f>IF($A164="","",D164+F164+H164+J164+L164)</f>
        <v/>
      </c>
      <c r="N164" s="26" t="str">
        <f>IF(OR($A164="",M164="",M164=0),"",RANK(M164,$M$4:$M$203,0))</f>
        <v/>
      </c>
      <c r="AA164">
        <f>Scherpenzeel!C286</f>
        <v>0</v>
      </c>
      <c r="AB164">
        <f>IF(AA164="",0,IF(COUNTIF($AA$1:AA164,AA164)=1,1,0))</f>
        <v>0</v>
      </c>
      <c r="AC164" t="str">
        <f>IF(AB164=1,COUNTIF($AB$1:AB164,1),"")</f>
        <v/>
      </c>
    </row>
    <row r="165" spans="1:29" x14ac:dyDescent="0.25">
      <c r="A165" s="13" t="str">
        <f>IFERROR(INDEX($AA$1:$AA$387,MATCH(162,$AC$1:$AC$387,0)),"")</f>
        <v/>
      </c>
      <c r="B165" s="13" t="str">
        <f>IF($A165="","",IF(IFERROR(INDEX(Baarn!$F$43:$F$129,MATCH($A165,Baarn!$C$43:$C$129,0)),"")&lt;&gt;"",IFERROR(INDEX(Baarn!$F$43:$F$129,MATCH($A165,Baarn!$C$43:$C$129,0)),""),IF(IFERROR(INDEX(Scherpenzeel!$F$210:$F$309,MATCH($A165,Scherpenzeel!$C$210:$C$309,0)),"")&lt;&gt;"",IFERROR(INDEX(Scherpenzeel!$F$210:$F$309,MATCH($A165,Scherpenzeel!$C$210:$C$309,0)),""),IF(IFERROR(INDEX('4'!$F$210:$F$309,MATCH($A165,'4'!$C$210:$C$309,0)),"")&lt;&gt;"",IFERROR(INDEX('4'!$F$210:$F$309,MATCH($A165,'4'!$C$210:$C$309,0)),""),IFERROR(INDEX('5'!$F$210:$F$309,MATCH($A165,'5'!$C$210:$C$309,0)),"")))))</f>
        <v/>
      </c>
      <c r="C165" s="24" t="str">
        <f>""</f>
        <v/>
      </c>
      <c r="D165" s="15">
        <f>0</f>
        <v>0</v>
      </c>
      <c r="E165" s="24" t="str">
        <f>IF($A165="","",IFERROR(INDEX(Baarn!$A$43:$A$129,MATCH($A165,Baarn!$C$43:$C$129,0)),""))</f>
        <v/>
      </c>
      <c r="F165" s="15">
        <f>IF($A165="",0,IFERROR(INDEX(Baarn!$I$43:$I$129,MATCH($A165,Baarn!$C$43:$C$129,0)),0))</f>
        <v>0</v>
      </c>
      <c r="G165" s="24" t="str">
        <f>IF($A165="","",IFERROR(INDEX(Scherpenzeel!$A$210:$A$309,MATCH($A165,Scherpenzeel!$C$210:$C$309,0)),""))</f>
        <v/>
      </c>
      <c r="H165" s="15">
        <f>IF($A165="",0,IFERROR(INDEX(Scherpenzeel!$I$210:$I$309,MATCH($A165,Scherpenzeel!$C$210:$C$309,0)),0))</f>
        <v>0</v>
      </c>
      <c r="I165" s="24" t="str">
        <f>IF($A165="","",IFERROR(INDEX('4'!$A$210:$A$309,MATCH($A165,'4'!$C$210:$C$309,0)),""))</f>
        <v/>
      </c>
      <c r="J165" s="15">
        <f>IF($A165="",0,IFERROR(INDEX('4'!$I$210:$I$309,MATCH($A165,'4'!$C$210:$C$309,0)),0))</f>
        <v>0</v>
      </c>
      <c r="K165" s="24" t="str">
        <f>IF($A165="","",IFERROR(INDEX('5'!$A$210:$A$309,MATCH($A165,'5'!$C$210:$C$309,0)),""))</f>
        <v/>
      </c>
      <c r="L165" s="15">
        <f>IF($A165="",0,IFERROR(INDEX('5'!$I$210:$I$309,MATCH($A165,'5'!$C$210:$C$309,0)),0))</f>
        <v>0</v>
      </c>
      <c r="M165" s="25" t="str">
        <f>IF($A165="","",D165+F165+H165+J165+L165)</f>
        <v/>
      </c>
      <c r="N165" s="26" t="str">
        <f>IF(OR($A165="",M165="",M165=0),"",RANK(M165,$M$4:$M$203,0))</f>
        <v/>
      </c>
      <c r="AA165">
        <f>Scherpenzeel!C287</f>
        <v>0</v>
      </c>
      <c r="AB165">
        <f>IF(AA165="",0,IF(COUNTIF($AA$1:AA165,AA165)=1,1,0))</f>
        <v>0</v>
      </c>
      <c r="AC165" t="str">
        <f>IF(AB165=1,COUNTIF($AB$1:AB165,1),"")</f>
        <v/>
      </c>
    </row>
    <row r="166" spans="1:29" x14ac:dyDescent="0.25">
      <c r="A166" s="13" t="str">
        <f>IFERROR(INDEX($AA$1:$AA$387,MATCH(163,$AC$1:$AC$387,0)),"")</f>
        <v/>
      </c>
      <c r="B166" s="13" t="str">
        <f>IF($A166="","",IF(IFERROR(INDEX(Baarn!$F$43:$F$129,MATCH($A166,Baarn!$C$43:$C$129,0)),"")&lt;&gt;"",IFERROR(INDEX(Baarn!$F$43:$F$129,MATCH($A166,Baarn!$C$43:$C$129,0)),""),IF(IFERROR(INDEX(Scherpenzeel!$F$210:$F$309,MATCH($A166,Scherpenzeel!$C$210:$C$309,0)),"")&lt;&gt;"",IFERROR(INDEX(Scherpenzeel!$F$210:$F$309,MATCH($A166,Scherpenzeel!$C$210:$C$309,0)),""),IF(IFERROR(INDEX('4'!$F$210:$F$309,MATCH($A166,'4'!$C$210:$C$309,0)),"")&lt;&gt;"",IFERROR(INDEX('4'!$F$210:$F$309,MATCH($A166,'4'!$C$210:$C$309,0)),""),IFERROR(INDEX('5'!$F$210:$F$309,MATCH($A166,'5'!$C$210:$C$309,0)),"")))))</f>
        <v/>
      </c>
      <c r="C166" s="24" t="str">
        <f>""</f>
        <v/>
      </c>
      <c r="D166" s="15">
        <f>0</f>
        <v>0</v>
      </c>
      <c r="E166" s="24" t="str">
        <f>IF($A166="","",IFERROR(INDEX(Baarn!$A$43:$A$129,MATCH($A166,Baarn!$C$43:$C$129,0)),""))</f>
        <v/>
      </c>
      <c r="F166" s="15">
        <f>IF($A166="",0,IFERROR(INDEX(Baarn!$I$43:$I$129,MATCH($A166,Baarn!$C$43:$C$129,0)),0))</f>
        <v>0</v>
      </c>
      <c r="G166" s="24" t="str">
        <f>IF($A166="","",IFERROR(INDEX(Scherpenzeel!$A$210:$A$309,MATCH($A166,Scherpenzeel!$C$210:$C$309,0)),""))</f>
        <v/>
      </c>
      <c r="H166" s="15">
        <f>IF($A166="",0,IFERROR(INDEX(Scherpenzeel!$I$210:$I$309,MATCH($A166,Scherpenzeel!$C$210:$C$309,0)),0))</f>
        <v>0</v>
      </c>
      <c r="I166" s="24" t="str">
        <f>IF($A166="","",IFERROR(INDEX('4'!$A$210:$A$309,MATCH($A166,'4'!$C$210:$C$309,0)),""))</f>
        <v/>
      </c>
      <c r="J166" s="15">
        <f>IF($A166="",0,IFERROR(INDEX('4'!$I$210:$I$309,MATCH($A166,'4'!$C$210:$C$309,0)),0))</f>
        <v>0</v>
      </c>
      <c r="K166" s="24" t="str">
        <f>IF($A166="","",IFERROR(INDEX('5'!$A$210:$A$309,MATCH($A166,'5'!$C$210:$C$309,0)),""))</f>
        <v/>
      </c>
      <c r="L166" s="15">
        <f>IF($A166="",0,IFERROR(INDEX('5'!$I$210:$I$309,MATCH($A166,'5'!$C$210:$C$309,0)),0))</f>
        <v>0</v>
      </c>
      <c r="M166" s="25" t="str">
        <f>IF($A166="","",D166+F166+H166+J166+L166)</f>
        <v/>
      </c>
      <c r="N166" s="26" t="str">
        <f>IF(OR($A166="",M166="",M166=0),"",RANK(M166,$M$4:$M$203,0))</f>
        <v/>
      </c>
      <c r="AA166">
        <f>Scherpenzeel!C288</f>
        <v>0</v>
      </c>
      <c r="AB166">
        <f>IF(AA166="",0,IF(COUNTIF($AA$1:AA166,AA166)=1,1,0))</f>
        <v>0</v>
      </c>
      <c r="AC166" t="str">
        <f>IF(AB166=1,COUNTIF($AB$1:AB166,1),"")</f>
        <v/>
      </c>
    </row>
    <row r="167" spans="1:29" x14ac:dyDescent="0.25">
      <c r="A167" s="13" t="str">
        <f>IFERROR(INDEX($AA$1:$AA$387,MATCH(164,$AC$1:$AC$387,0)),"")</f>
        <v/>
      </c>
      <c r="B167" s="13" t="str">
        <f>IF($A167="","",IF(IFERROR(INDEX(Baarn!$F$43:$F$129,MATCH($A167,Baarn!$C$43:$C$129,0)),"")&lt;&gt;"",IFERROR(INDEX(Baarn!$F$43:$F$129,MATCH($A167,Baarn!$C$43:$C$129,0)),""),IF(IFERROR(INDEX(Scherpenzeel!$F$210:$F$309,MATCH($A167,Scherpenzeel!$C$210:$C$309,0)),"")&lt;&gt;"",IFERROR(INDEX(Scherpenzeel!$F$210:$F$309,MATCH($A167,Scherpenzeel!$C$210:$C$309,0)),""),IF(IFERROR(INDEX('4'!$F$210:$F$309,MATCH($A167,'4'!$C$210:$C$309,0)),"")&lt;&gt;"",IFERROR(INDEX('4'!$F$210:$F$309,MATCH($A167,'4'!$C$210:$C$309,0)),""),IFERROR(INDEX('5'!$F$210:$F$309,MATCH($A167,'5'!$C$210:$C$309,0)),"")))))</f>
        <v/>
      </c>
      <c r="C167" s="24" t="str">
        <f>""</f>
        <v/>
      </c>
      <c r="D167" s="15">
        <f>0</f>
        <v>0</v>
      </c>
      <c r="E167" s="24" t="str">
        <f>IF($A167="","",IFERROR(INDEX(Baarn!$A$43:$A$129,MATCH($A167,Baarn!$C$43:$C$129,0)),""))</f>
        <v/>
      </c>
      <c r="F167" s="15">
        <f>IF($A167="",0,IFERROR(INDEX(Baarn!$I$43:$I$129,MATCH($A167,Baarn!$C$43:$C$129,0)),0))</f>
        <v>0</v>
      </c>
      <c r="G167" s="24" t="str">
        <f>IF($A167="","",IFERROR(INDEX(Scherpenzeel!$A$210:$A$309,MATCH($A167,Scherpenzeel!$C$210:$C$309,0)),""))</f>
        <v/>
      </c>
      <c r="H167" s="15">
        <f>IF($A167="",0,IFERROR(INDEX(Scherpenzeel!$I$210:$I$309,MATCH($A167,Scherpenzeel!$C$210:$C$309,0)),0))</f>
        <v>0</v>
      </c>
      <c r="I167" s="24" t="str">
        <f>IF($A167="","",IFERROR(INDEX('4'!$A$210:$A$309,MATCH($A167,'4'!$C$210:$C$309,0)),""))</f>
        <v/>
      </c>
      <c r="J167" s="15">
        <f>IF($A167="",0,IFERROR(INDEX('4'!$I$210:$I$309,MATCH($A167,'4'!$C$210:$C$309,0)),0))</f>
        <v>0</v>
      </c>
      <c r="K167" s="24" t="str">
        <f>IF($A167="","",IFERROR(INDEX('5'!$A$210:$A$309,MATCH($A167,'5'!$C$210:$C$309,0)),""))</f>
        <v/>
      </c>
      <c r="L167" s="15">
        <f>IF($A167="",0,IFERROR(INDEX('5'!$I$210:$I$309,MATCH($A167,'5'!$C$210:$C$309,0)),0))</f>
        <v>0</v>
      </c>
      <c r="M167" s="25" t="str">
        <f>IF($A167="","",D167+F167+H167+J167+L167)</f>
        <v/>
      </c>
      <c r="N167" s="26" t="str">
        <f>IF(OR($A167="",M167="",M167=0),"",RANK(M167,$M$4:$M$203,0))</f>
        <v/>
      </c>
      <c r="AA167">
        <f>Scherpenzeel!C289</f>
        <v>0</v>
      </c>
      <c r="AB167">
        <f>IF(AA167="",0,IF(COUNTIF($AA$1:AA167,AA167)=1,1,0))</f>
        <v>0</v>
      </c>
      <c r="AC167" t="str">
        <f>IF(AB167=1,COUNTIF($AB$1:AB167,1),"")</f>
        <v/>
      </c>
    </row>
    <row r="168" spans="1:29" x14ac:dyDescent="0.25">
      <c r="A168" s="13" t="str">
        <f>IFERROR(INDEX($AA$1:$AA$387,MATCH(165,$AC$1:$AC$387,0)),"")</f>
        <v/>
      </c>
      <c r="B168" s="13" t="str">
        <f>IF($A168="","",IF(IFERROR(INDEX(Baarn!$F$43:$F$129,MATCH($A168,Baarn!$C$43:$C$129,0)),"")&lt;&gt;"",IFERROR(INDEX(Baarn!$F$43:$F$129,MATCH($A168,Baarn!$C$43:$C$129,0)),""),IF(IFERROR(INDEX(Scherpenzeel!$F$210:$F$309,MATCH($A168,Scherpenzeel!$C$210:$C$309,0)),"")&lt;&gt;"",IFERROR(INDEX(Scherpenzeel!$F$210:$F$309,MATCH($A168,Scherpenzeel!$C$210:$C$309,0)),""),IF(IFERROR(INDEX('4'!$F$210:$F$309,MATCH($A168,'4'!$C$210:$C$309,0)),"")&lt;&gt;"",IFERROR(INDEX('4'!$F$210:$F$309,MATCH($A168,'4'!$C$210:$C$309,0)),""),IFERROR(INDEX('5'!$F$210:$F$309,MATCH($A168,'5'!$C$210:$C$309,0)),"")))))</f>
        <v/>
      </c>
      <c r="C168" s="24" t="str">
        <f>""</f>
        <v/>
      </c>
      <c r="D168" s="15">
        <f>0</f>
        <v>0</v>
      </c>
      <c r="E168" s="24" t="str">
        <f>IF($A168="","",IFERROR(INDEX(Baarn!$A$43:$A$129,MATCH($A168,Baarn!$C$43:$C$129,0)),""))</f>
        <v/>
      </c>
      <c r="F168" s="15">
        <f>IF($A168="",0,IFERROR(INDEX(Baarn!$I$43:$I$129,MATCH($A168,Baarn!$C$43:$C$129,0)),0))</f>
        <v>0</v>
      </c>
      <c r="G168" s="24" t="str">
        <f>IF($A168="","",IFERROR(INDEX(Scherpenzeel!$A$210:$A$309,MATCH($A168,Scherpenzeel!$C$210:$C$309,0)),""))</f>
        <v/>
      </c>
      <c r="H168" s="15">
        <f>IF($A168="",0,IFERROR(INDEX(Scherpenzeel!$I$210:$I$309,MATCH($A168,Scherpenzeel!$C$210:$C$309,0)),0))</f>
        <v>0</v>
      </c>
      <c r="I168" s="24" t="str">
        <f>IF($A168="","",IFERROR(INDEX('4'!$A$210:$A$309,MATCH($A168,'4'!$C$210:$C$309,0)),""))</f>
        <v/>
      </c>
      <c r="J168" s="15">
        <f>IF($A168="",0,IFERROR(INDEX('4'!$I$210:$I$309,MATCH($A168,'4'!$C$210:$C$309,0)),0))</f>
        <v>0</v>
      </c>
      <c r="K168" s="24" t="str">
        <f>IF($A168="","",IFERROR(INDEX('5'!$A$210:$A$309,MATCH($A168,'5'!$C$210:$C$309,0)),""))</f>
        <v/>
      </c>
      <c r="L168" s="15">
        <f>IF($A168="",0,IFERROR(INDEX('5'!$I$210:$I$309,MATCH($A168,'5'!$C$210:$C$309,0)),0))</f>
        <v>0</v>
      </c>
      <c r="M168" s="25" t="str">
        <f>IF($A168="","",D168+F168+H168+J168+L168)</f>
        <v/>
      </c>
      <c r="N168" s="26" t="str">
        <f>IF(OR($A168="",M168="",M168=0),"",RANK(M168,$M$4:$M$203,0))</f>
        <v/>
      </c>
      <c r="AA168">
        <f>Scherpenzeel!C290</f>
        <v>0</v>
      </c>
      <c r="AB168">
        <f>IF(AA168="",0,IF(COUNTIF($AA$1:AA168,AA168)=1,1,0))</f>
        <v>0</v>
      </c>
      <c r="AC168" t="str">
        <f>IF(AB168=1,COUNTIF($AB$1:AB168,1),"")</f>
        <v/>
      </c>
    </row>
    <row r="169" spans="1:29" x14ac:dyDescent="0.25">
      <c r="A169" s="13" t="str">
        <f>IFERROR(INDEX($AA$1:$AA$387,MATCH(166,$AC$1:$AC$387,0)),"")</f>
        <v/>
      </c>
      <c r="B169" s="13" t="str">
        <f>IF($A169="","",IF(IFERROR(INDEX(Baarn!$F$43:$F$129,MATCH($A169,Baarn!$C$43:$C$129,0)),"")&lt;&gt;"",IFERROR(INDEX(Baarn!$F$43:$F$129,MATCH($A169,Baarn!$C$43:$C$129,0)),""),IF(IFERROR(INDEX(Scherpenzeel!$F$210:$F$309,MATCH($A169,Scherpenzeel!$C$210:$C$309,0)),"")&lt;&gt;"",IFERROR(INDEX(Scherpenzeel!$F$210:$F$309,MATCH($A169,Scherpenzeel!$C$210:$C$309,0)),""),IF(IFERROR(INDEX('4'!$F$210:$F$309,MATCH($A169,'4'!$C$210:$C$309,0)),"")&lt;&gt;"",IFERROR(INDEX('4'!$F$210:$F$309,MATCH($A169,'4'!$C$210:$C$309,0)),""),IFERROR(INDEX('5'!$F$210:$F$309,MATCH($A169,'5'!$C$210:$C$309,0)),"")))))</f>
        <v/>
      </c>
      <c r="C169" s="24" t="str">
        <f>""</f>
        <v/>
      </c>
      <c r="D169" s="15">
        <f>0</f>
        <v>0</v>
      </c>
      <c r="E169" s="24" t="str">
        <f>IF($A169="","",IFERROR(INDEX(Baarn!$A$43:$A$129,MATCH($A169,Baarn!$C$43:$C$129,0)),""))</f>
        <v/>
      </c>
      <c r="F169" s="15">
        <f>IF($A169="",0,IFERROR(INDEX(Baarn!$I$43:$I$129,MATCH($A169,Baarn!$C$43:$C$129,0)),0))</f>
        <v>0</v>
      </c>
      <c r="G169" s="24" t="str">
        <f>IF($A169="","",IFERROR(INDEX(Scherpenzeel!$A$210:$A$309,MATCH($A169,Scherpenzeel!$C$210:$C$309,0)),""))</f>
        <v/>
      </c>
      <c r="H169" s="15">
        <f>IF($A169="",0,IFERROR(INDEX(Scherpenzeel!$I$210:$I$309,MATCH($A169,Scherpenzeel!$C$210:$C$309,0)),0))</f>
        <v>0</v>
      </c>
      <c r="I169" s="24" t="str">
        <f>IF($A169="","",IFERROR(INDEX('4'!$A$210:$A$309,MATCH($A169,'4'!$C$210:$C$309,0)),""))</f>
        <v/>
      </c>
      <c r="J169" s="15">
        <f>IF($A169="",0,IFERROR(INDEX('4'!$I$210:$I$309,MATCH($A169,'4'!$C$210:$C$309,0)),0))</f>
        <v>0</v>
      </c>
      <c r="K169" s="24" t="str">
        <f>IF($A169="","",IFERROR(INDEX('5'!$A$210:$A$309,MATCH($A169,'5'!$C$210:$C$309,0)),""))</f>
        <v/>
      </c>
      <c r="L169" s="15">
        <f>IF($A169="",0,IFERROR(INDEX('5'!$I$210:$I$309,MATCH($A169,'5'!$C$210:$C$309,0)),0))</f>
        <v>0</v>
      </c>
      <c r="M169" s="25" t="str">
        <f>IF($A169="","",D169+F169+H169+J169+L169)</f>
        <v/>
      </c>
      <c r="N169" s="26" t="str">
        <f>IF(OR($A169="",M169="",M169=0),"",RANK(M169,$M$4:$M$203,0))</f>
        <v/>
      </c>
      <c r="AA169">
        <f>Scherpenzeel!C291</f>
        <v>0</v>
      </c>
      <c r="AB169">
        <f>IF(AA169="",0,IF(COUNTIF($AA$1:AA169,AA169)=1,1,0))</f>
        <v>0</v>
      </c>
      <c r="AC169" t="str">
        <f>IF(AB169=1,COUNTIF($AB$1:AB169,1),"")</f>
        <v/>
      </c>
    </row>
    <row r="170" spans="1:29" x14ac:dyDescent="0.25">
      <c r="A170" s="13" t="str">
        <f>IFERROR(INDEX($AA$1:$AA$387,MATCH(167,$AC$1:$AC$387,0)),"")</f>
        <v/>
      </c>
      <c r="B170" s="13" t="str">
        <f>IF($A170="","",IF(IFERROR(INDEX(Baarn!$F$43:$F$129,MATCH($A170,Baarn!$C$43:$C$129,0)),"")&lt;&gt;"",IFERROR(INDEX(Baarn!$F$43:$F$129,MATCH($A170,Baarn!$C$43:$C$129,0)),""),IF(IFERROR(INDEX(Scherpenzeel!$F$210:$F$309,MATCH($A170,Scherpenzeel!$C$210:$C$309,0)),"")&lt;&gt;"",IFERROR(INDEX(Scherpenzeel!$F$210:$F$309,MATCH($A170,Scherpenzeel!$C$210:$C$309,0)),""),IF(IFERROR(INDEX('4'!$F$210:$F$309,MATCH($A170,'4'!$C$210:$C$309,0)),"")&lt;&gt;"",IFERROR(INDEX('4'!$F$210:$F$309,MATCH($A170,'4'!$C$210:$C$309,0)),""),IFERROR(INDEX('5'!$F$210:$F$309,MATCH($A170,'5'!$C$210:$C$309,0)),"")))))</f>
        <v/>
      </c>
      <c r="C170" s="24" t="str">
        <f>""</f>
        <v/>
      </c>
      <c r="D170" s="15">
        <f>0</f>
        <v>0</v>
      </c>
      <c r="E170" s="24" t="str">
        <f>IF($A170="","",IFERROR(INDEX(Baarn!$A$43:$A$129,MATCH($A170,Baarn!$C$43:$C$129,0)),""))</f>
        <v/>
      </c>
      <c r="F170" s="15">
        <f>IF($A170="",0,IFERROR(INDEX(Baarn!$I$43:$I$129,MATCH($A170,Baarn!$C$43:$C$129,0)),0))</f>
        <v>0</v>
      </c>
      <c r="G170" s="24" t="str">
        <f>IF($A170="","",IFERROR(INDEX(Scherpenzeel!$A$210:$A$309,MATCH($A170,Scherpenzeel!$C$210:$C$309,0)),""))</f>
        <v/>
      </c>
      <c r="H170" s="15">
        <f>IF($A170="",0,IFERROR(INDEX(Scherpenzeel!$I$210:$I$309,MATCH($A170,Scherpenzeel!$C$210:$C$309,0)),0))</f>
        <v>0</v>
      </c>
      <c r="I170" s="24" t="str">
        <f>IF($A170="","",IFERROR(INDEX('4'!$A$210:$A$309,MATCH($A170,'4'!$C$210:$C$309,0)),""))</f>
        <v/>
      </c>
      <c r="J170" s="15">
        <f>IF($A170="",0,IFERROR(INDEX('4'!$I$210:$I$309,MATCH($A170,'4'!$C$210:$C$309,0)),0))</f>
        <v>0</v>
      </c>
      <c r="K170" s="24" t="str">
        <f>IF($A170="","",IFERROR(INDEX('5'!$A$210:$A$309,MATCH($A170,'5'!$C$210:$C$309,0)),""))</f>
        <v/>
      </c>
      <c r="L170" s="15">
        <f>IF($A170="",0,IFERROR(INDEX('5'!$I$210:$I$309,MATCH($A170,'5'!$C$210:$C$309,0)),0))</f>
        <v>0</v>
      </c>
      <c r="M170" s="25" t="str">
        <f>IF($A170="","",D170+F170+H170+J170+L170)</f>
        <v/>
      </c>
      <c r="N170" s="26" t="str">
        <f>IF(OR($A170="",M170="",M170=0),"",RANK(M170,$M$4:$M$203,0))</f>
        <v/>
      </c>
      <c r="AA170">
        <f>Scherpenzeel!C292</f>
        <v>0</v>
      </c>
      <c r="AB170">
        <f>IF(AA170="",0,IF(COUNTIF($AA$1:AA170,AA170)=1,1,0))</f>
        <v>0</v>
      </c>
      <c r="AC170" t="str">
        <f>IF(AB170=1,COUNTIF($AB$1:AB170,1),"")</f>
        <v/>
      </c>
    </row>
    <row r="171" spans="1:29" x14ac:dyDescent="0.25">
      <c r="A171" s="13" t="str">
        <f>IFERROR(INDEX($AA$1:$AA$387,MATCH(168,$AC$1:$AC$387,0)),"")</f>
        <v/>
      </c>
      <c r="B171" s="13" t="str">
        <f>IF($A171="","",IF(IFERROR(INDEX(Baarn!$F$43:$F$129,MATCH($A171,Baarn!$C$43:$C$129,0)),"")&lt;&gt;"",IFERROR(INDEX(Baarn!$F$43:$F$129,MATCH($A171,Baarn!$C$43:$C$129,0)),""),IF(IFERROR(INDEX(Scherpenzeel!$F$210:$F$309,MATCH($A171,Scherpenzeel!$C$210:$C$309,0)),"")&lt;&gt;"",IFERROR(INDEX(Scherpenzeel!$F$210:$F$309,MATCH($A171,Scherpenzeel!$C$210:$C$309,0)),""),IF(IFERROR(INDEX('4'!$F$210:$F$309,MATCH($A171,'4'!$C$210:$C$309,0)),"")&lt;&gt;"",IFERROR(INDEX('4'!$F$210:$F$309,MATCH($A171,'4'!$C$210:$C$309,0)),""),IFERROR(INDEX('5'!$F$210:$F$309,MATCH($A171,'5'!$C$210:$C$309,0)),"")))))</f>
        <v/>
      </c>
      <c r="C171" s="24" t="str">
        <f>""</f>
        <v/>
      </c>
      <c r="D171" s="15">
        <f>0</f>
        <v>0</v>
      </c>
      <c r="E171" s="24" t="str">
        <f>IF($A171="","",IFERROR(INDEX(Baarn!$A$43:$A$129,MATCH($A171,Baarn!$C$43:$C$129,0)),""))</f>
        <v/>
      </c>
      <c r="F171" s="15">
        <f>IF($A171="",0,IFERROR(INDEX(Baarn!$I$43:$I$129,MATCH($A171,Baarn!$C$43:$C$129,0)),0))</f>
        <v>0</v>
      </c>
      <c r="G171" s="24" t="str">
        <f>IF($A171="","",IFERROR(INDEX(Scherpenzeel!$A$210:$A$309,MATCH($A171,Scherpenzeel!$C$210:$C$309,0)),""))</f>
        <v/>
      </c>
      <c r="H171" s="15">
        <f>IF($A171="",0,IFERROR(INDEX(Scherpenzeel!$I$210:$I$309,MATCH($A171,Scherpenzeel!$C$210:$C$309,0)),0))</f>
        <v>0</v>
      </c>
      <c r="I171" s="24" t="str">
        <f>IF($A171="","",IFERROR(INDEX('4'!$A$210:$A$309,MATCH($A171,'4'!$C$210:$C$309,0)),""))</f>
        <v/>
      </c>
      <c r="J171" s="15">
        <f>IF($A171="",0,IFERROR(INDEX('4'!$I$210:$I$309,MATCH($A171,'4'!$C$210:$C$309,0)),0))</f>
        <v>0</v>
      </c>
      <c r="K171" s="24" t="str">
        <f>IF($A171="","",IFERROR(INDEX('5'!$A$210:$A$309,MATCH($A171,'5'!$C$210:$C$309,0)),""))</f>
        <v/>
      </c>
      <c r="L171" s="15">
        <f>IF($A171="",0,IFERROR(INDEX('5'!$I$210:$I$309,MATCH($A171,'5'!$C$210:$C$309,0)),0))</f>
        <v>0</v>
      </c>
      <c r="M171" s="25" t="str">
        <f>IF($A171="","",D171+F171+H171+J171+L171)</f>
        <v/>
      </c>
      <c r="N171" s="26" t="str">
        <f>IF(OR($A171="",M171="",M171=0),"",RANK(M171,$M$4:$M$203,0))</f>
        <v/>
      </c>
      <c r="AA171">
        <f>Scherpenzeel!C293</f>
        <v>0</v>
      </c>
      <c r="AB171">
        <f>IF(AA171="",0,IF(COUNTIF($AA$1:AA171,AA171)=1,1,0))</f>
        <v>0</v>
      </c>
      <c r="AC171" t="str">
        <f>IF(AB171=1,COUNTIF($AB$1:AB171,1),"")</f>
        <v/>
      </c>
    </row>
    <row r="172" spans="1:29" x14ac:dyDescent="0.25">
      <c r="A172" s="13" t="str">
        <f>IFERROR(INDEX($AA$1:$AA$387,MATCH(169,$AC$1:$AC$387,0)),"")</f>
        <v/>
      </c>
      <c r="B172" s="13" t="str">
        <f>IF($A172="","",IF(IFERROR(INDEX(Baarn!$F$43:$F$129,MATCH($A172,Baarn!$C$43:$C$129,0)),"")&lt;&gt;"",IFERROR(INDEX(Baarn!$F$43:$F$129,MATCH($A172,Baarn!$C$43:$C$129,0)),""),IF(IFERROR(INDEX(Scherpenzeel!$F$210:$F$309,MATCH($A172,Scherpenzeel!$C$210:$C$309,0)),"")&lt;&gt;"",IFERROR(INDEX(Scherpenzeel!$F$210:$F$309,MATCH($A172,Scherpenzeel!$C$210:$C$309,0)),""),IF(IFERROR(INDEX('4'!$F$210:$F$309,MATCH($A172,'4'!$C$210:$C$309,0)),"")&lt;&gt;"",IFERROR(INDEX('4'!$F$210:$F$309,MATCH($A172,'4'!$C$210:$C$309,0)),""),IFERROR(INDEX('5'!$F$210:$F$309,MATCH($A172,'5'!$C$210:$C$309,0)),"")))))</f>
        <v/>
      </c>
      <c r="C172" s="24" t="str">
        <f>""</f>
        <v/>
      </c>
      <c r="D172" s="15">
        <f>0</f>
        <v>0</v>
      </c>
      <c r="E172" s="24" t="str">
        <f>IF($A172="","",IFERROR(INDEX(Baarn!$A$43:$A$129,MATCH($A172,Baarn!$C$43:$C$129,0)),""))</f>
        <v/>
      </c>
      <c r="F172" s="15">
        <f>IF($A172="",0,IFERROR(INDEX(Baarn!$I$43:$I$129,MATCH($A172,Baarn!$C$43:$C$129,0)),0))</f>
        <v>0</v>
      </c>
      <c r="G172" s="24" t="str">
        <f>IF($A172="","",IFERROR(INDEX(Scherpenzeel!$A$210:$A$309,MATCH($A172,Scherpenzeel!$C$210:$C$309,0)),""))</f>
        <v/>
      </c>
      <c r="H172" s="15">
        <f>IF($A172="",0,IFERROR(INDEX(Scherpenzeel!$I$210:$I$309,MATCH($A172,Scherpenzeel!$C$210:$C$309,0)),0))</f>
        <v>0</v>
      </c>
      <c r="I172" s="24" t="str">
        <f>IF($A172="","",IFERROR(INDEX('4'!$A$210:$A$309,MATCH($A172,'4'!$C$210:$C$309,0)),""))</f>
        <v/>
      </c>
      <c r="J172" s="15">
        <f>IF($A172="",0,IFERROR(INDEX('4'!$I$210:$I$309,MATCH($A172,'4'!$C$210:$C$309,0)),0))</f>
        <v>0</v>
      </c>
      <c r="K172" s="24" t="str">
        <f>IF($A172="","",IFERROR(INDEX('5'!$A$210:$A$309,MATCH($A172,'5'!$C$210:$C$309,0)),""))</f>
        <v/>
      </c>
      <c r="L172" s="15">
        <f>IF($A172="",0,IFERROR(INDEX('5'!$I$210:$I$309,MATCH($A172,'5'!$C$210:$C$309,0)),0))</f>
        <v>0</v>
      </c>
      <c r="M172" s="25" t="str">
        <f>IF($A172="","",D172+F172+H172+J172+L172)</f>
        <v/>
      </c>
      <c r="N172" s="26" t="str">
        <f>IF(OR($A172="",M172="",M172=0),"",RANK(M172,$M$4:$M$203,0))</f>
        <v/>
      </c>
      <c r="AA172">
        <f>Scherpenzeel!C294</f>
        <v>0</v>
      </c>
      <c r="AB172">
        <f>IF(AA172="",0,IF(COUNTIF($AA$1:AA172,AA172)=1,1,0))</f>
        <v>0</v>
      </c>
      <c r="AC172" t="str">
        <f>IF(AB172=1,COUNTIF($AB$1:AB172,1),"")</f>
        <v/>
      </c>
    </row>
    <row r="173" spans="1:29" x14ac:dyDescent="0.25">
      <c r="A173" s="13" t="str">
        <f>IFERROR(INDEX($AA$1:$AA$387,MATCH(170,$AC$1:$AC$387,0)),"")</f>
        <v/>
      </c>
      <c r="B173" s="13" t="str">
        <f>IF($A173="","",IF(IFERROR(INDEX(Baarn!$F$43:$F$129,MATCH($A173,Baarn!$C$43:$C$129,0)),"")&lt;&gt;"",IFERROR(INDEX(Baarn!$F$43:$F$129,MATCH($A173,Baarn!$C$43:$C$129,0)),""),IF(IFERROR(INDEX(Scherpenzeel!$F$210:$F$309,MATCH($A173,Scherpenzeel!$C$210:$C$309,0)),"")&lt;&gt;"",IFERROR(INDEX(Scherpenzeel!$F$210:$F$309,MATCH($A173,Scherpenzeel!$C$210:$C$309,0)),""),IF(IFERROR(INDEX('4'!$F$210:$F$309,MATCH($A173,'4'!$C$210:$C$309,0)),"")&lt;&gt;"",IFERROR(INDEX('4'!$F$210:$F$309,MATCH($A173,'4'!$C$210:$C$309,0)),""),IFERROR(INDEX('5'!$F$210:$F$309,MATCH($A173,'5'!$C$210:$C$309,0)),"")))))</f>
        <v/>
      </c>
      <c r="C173" s="24" t="str">
        <f>""</f>
        <v/>
      </c>
      <c r="D173" s="15">
        <f>0</f>
        <v>0</v>
      </c>
      <c r="E173" s="24" t="str">
        <f>IF($A173="","",IFERROR(INDEX(Baarn!$A$43:$A$129,MATCH($A173,Baarn!$C$43:$C$129,0)),""))</f>
        <v/>
      </c>
      <c r="F173" s="15">
        <f>IF($A173="",0,IFERROR(INDEX(Baarn!$I$43:$I$129,MATCH($A173,Baarn!$C$43:$C$129,0)),0))</f>
        <v>0</v>
      </c>
      <c r="G173" s="24" t="str">
        <f>IF($A173="","",IFERROR(INDEX(Scherpenzeel!$A$210:$A$309,MATCH($A173,Scherpenzeel!$C$210:$C$309,0)),""))</f>
        <v/>
      </c>
      <c r="H173" s="15">
        <f>IF($A173="",0,IFERROR(INDEX(Scherpenzeel!$I$210:$I$309,MATCH($A173,Scherpenzeel!$C$210:$C$309,0)),0))</f>
        <v>0</v>
      </c>
      <c r="I173" s="24" t="str">
        <f>IF($A173="","",IFERROR(INDEX('4'!$A$210:$A$309,MATCH($A173,'4'!$C$210:$C$309,0)),""))</f>
        <v/>
      </c>
      <c r="J173" s="15">
        <f>IF($A173="",0,IFERROR(INDEX('4'!$I$210:$I$309,MATCH($A173,'4'!$C$210:$C$309,0)),0))</f>
        <v>0</v>
      </c>
      <c r="K173" s="24" t="str">
        <f>IF($A173="","",IFERROR(INDEX('5'!$A$210:$A$309,MATCH($A173,'5'!$C$210:$C$309,0)),""))</f>
        <v/>
      </c>
      <c r="L173" s="15">
        <f>IF($A173="",0,IFERROR(INDEX('5'!$I$210:$I$309,MATCH($A173,'5'!$C$210:$C$309,0)),0))</f>
        <v>0</v>
      </c>
      <c r="M173" s="25" t="str">
        <f>IF($A173="","",D173+F173+H173+J173+L173)</f>
        <v/>
      </c>
      <c r="N173" s="26" t="str">
        <f>IF(OR($A173="",M173="",M173=0),"",RANK(M173,$M$4:$M$203,0))</f>
        <v/>
      </c>
      <c r="AA173">
        <f>Scherpenzeel!C295</f>
        <v>0</v>
      </c>
      <c r="AB173">
        <f>IF(AA173="",0,IF(COUNTIF($AA$1:AA173,AA173)=1,1,0))</f>
        <v>0</v>
      </c>
      <c r="AC173" t="str">
        <f>IF(AB173=1,COUNTIF($AB$1:AB173,1),"")</f>
        <v/>
      </c>
    </row>
    <row r="174" spans="1:29" x14ac:dyDescent="0.25">
      <c r="A174" s="13" t="str">
        <f>IFERROR(INDEX($AA$1:$AA$387,MATCH(171,$AC$1:$AC$387,0)),"")</f>
        <v/>
      </c>
      <c r="B174" s="13" t="str">
        <f>IF($A174="","",IF(IFERROR(INDEX(Baarn!$F$43:$F$129,MATCH($A174,Baarn!$C$43:$C$129,0)),"")&lt;&gt;"",IFERROR(INDEX(Baarn!$F$43:$F$129,MATCH($A174,Baarn!$C$43:$C$129,0)),""),IF(IFERROR(INDEX(Scherpenzeel!$F$210:$F$309,MATCH($A174,Scherpenzeel!$C$210:$C$309,0)),"")&lt;&gt;"",IFERROR(INDEX(Scherpenzeel!$F$210:$F$309,MATCH($A174,Scherpenzeel!$C$210:$C$309,0)),""),IF(IFERROR(INDEX('4'!$F$210:$F$309,MATCH($A174,'4'!$C$210:$C$309,0)),"")&lt;&gt;"",IFERROR(INDEX('4'!$F$210:$F$309,MATCH($A174,'4'!$C$210:$C$309,0)),""),IFERROR(INDEX('5'!$F$210:$F$309,MATCH($A174,'5'!$C$210:$C$309,0)),"")))))</f>
        <v/>
      </c>
      <c r="C174" s="24" t="str">
        <f>""</f>
        <v/>
      </c>
      <c r="D174" s="15">
        <f>0</f>
        <v>0</v>
      </c>
      <c r="E174" s="24" t="str">
        <f>IF($A174="","",IFERROR(INDEX(Baarn!$A$43:$A$129,MATCH($A174,Baarn!$C$43:$C$129,0)),""))</f>
        <v/>
      </c>
      <c r="F174" s="15">
        <f>IF($A174="",0,IFERROR(INDEX(Baarn!$I$43:$I$129,MATCH($A174,Baarn!$C$43:$C$129,0)),0))</f>
        <v>0</v>
      </c>
      <c r="G174" s="24" t="str">
        <f>IF($A174="","",IFERROR(INDEX(Scherpenzeel!$A$210:$A$309,MATCH($A174,Scherpenzeel!$C$210:$C$309,0)),""))</f>
        <v/>
      </c>
      <c r="H174" s="15">
        <f>IF($A174="",0,IFERROR(INDEX(Scherpenzeel!$I$210:$I$309,MATCH($A174,Scherpenzeel!$C$210:$C$309,0)),0))</f>
        <v>0</v>
      </c>
      <c r="I174" s="24" t="str">
        <f>IF($A174="","",IFERROR(INDEX('4'!$A$210:$A$309,MATCH($A174,'4'!$C$210:$C$309,0)),""))</f>
        <v/>
      </c>
      <c r="J174" s="15">
        <f>IF($A174="",0,IFERROR(INDEX('4'!$I$210:$I$309,MATCH($A174,'4'!$C$210:$C$309,0)),0))</f>
        <v>0</v>
      </c>
      <c r="K174" s="24" t="str">
        <f>IF($A174="","",IFERROR(INDEX('5'!$A$210:$A$309,MATCH($A174,'5'!$C$210:$C$309,0)),""))</f>
        <v/>
      </c>
      <c r="L174" s="15">
        <f>IF($A174="",0,IFERROR(INDEX('5'!$I$210:$I$309,MATCH($A174,'5'!$C$210:$C$309,0)),0))</f>
        <v>0</v>
      </c>
      <c r="M174" s="25" t="str">
        <f>IF($A174="","",D174+F174+H174+J174+L174)</f>
        <v/>
      </c>
      <c r="N174" s="26" t="str">
        <f>IF(OR($A174="",M174="",M174=0),"",RANK(M174,$M$4:$M$203,0))</f>
        <v/>
      </c>
      <c r="AA174">
        <f>Scherpenzeel!C296</f>
        <v>0</v>
      </c>
      <c r="AB174">
        <f>IF(AA174="",0,IF(COUNTIF($AA$1:AA174,AA174)=1,1,0))</f>
        <v>0</v>
      </c>
      <c r="AC174" t="str">
        <f>IF(AB174=1,COUNTIF($AB$1:AB174,1),"")</f>
        <v/>
      </c>
    </row>
    <row r="175" spans="1:29" x14ac:dyDescent="0.25">
      <c r="A175" s="13" t="str">
        <f>IFERROR(INDEX($AA$1:$AA$387,MATCH(172,$AC$1:$AC$387,0)),"")</f>
        <v/>
      </c>
      <c r="B175" s="13" t="str">
        <f>IF($A175="","",IF(IFERROR(INDEX(Baarn!$F$43:$F$129,MATCH($A175,Baarn!$C$43:$C$129,0)),"")&lt;&gt;"",IFERROR(INDEX(Baarn!$F$43:$F$129,MATCH($A175,Baarn!$C$43:$C$129,0)),""),IF(IFERROR(INDEX(Scherpenzeel!$F$210:$F$309,MATCH($A175,Scherpenzeel!$C$210:$C$309,0)),"")&lt;&gt;"",IFERROR(INDEX(Scherpenzeel!$F$210:$F$309,MATCH($A175,Scherpenzeel!$C$210:$C$309,0)),""),IF(IFERROR(INDEX('4'!$F$210:$F$309,MATCH($A175,'4'!$C$210:$C$309,0)),"")&lt;&gt;"",IFERROR(INDEX('4'!$F$210:$F$309,MATCH($A175,'4'!$C$210:$C$309,0)),""),IFERROR(INDEX('5'!$F$210:$F$309,MATCH($A175,'5'!$C$210:$C$309,0)),"")))))</f>
        <v/>
      </c>
      <c r="C175" s="24" t="str">
        <f>""</f>
        <v/>
      </c>
      <c r="D175" s="15">
        <f>0</f>
        <v>0</v>
      </c>
      <c r="E175" s="24" t="str">
        <f>IF($A175="","",IFERROR(INDEX(Baarn!$A$43:$A$129,MATCH($A175,Baarn!$C$43:$C$129,0)),""))</f>
        <v/>
      </c>
      <c r="F175" s="15">
        <f>IF($A175="",0,IFERROR(INDEX(Baarn!$I$43:$I$129,MATCH($A175,Baarn!$C$43:$C$129,0)),0))</f>
        <v>0</v>
      </c>
      <c r="G175" s="24" t="str">
        <f>IF($A175="","",IFERROR(INDEX(Scherpenzeel!$A$210:$A$309,MATCH($A175,Scherpenzeel!$C$210:$C$309,0)),""))</f>
        <v/>
      </c>
      <c r="H175" s="15">
        <f>IF($A175="",0,IFERROR(INDEX(Scherpenzeel!$I$210:$I$309,MATCH($A175,Scherpenzeel!$C$210:$C$309,0)),0))</f>
        <v>0</v>
      </c>
      <c r="I175" s="24" t="str">
        <f>IF($A175="","",IFERROR(INDEX('4'!$A$210:$A$309,MATCH($A175,'4'!$C$210:$C$309,0)),""))</f>
        <v/>
      </c>
      <c r="J175" s="15">
        <f>IF($A175="",0,IFERROR(INDEX('4'!$I$210:$I$309,MATCH($A175,'4'!$C$210:$C$309,0)),0))</f>
        <v>0</v>
      </c>
      <c r="K175" s="24" t="str">
        <f>IF($A175="","",IFERROR(INDEX('5'!$A$210:$A$309,MATCH($A175,'5'!$C$210:$C$309,0)),""))</f>
        <v/>
      </c>
      <c r="L175" s="15">
        <f>IF($A175="",0,IFERROR(INDEX('5'!$I$210:$I$309,MATCH($A175,'5'!$C$210:$C$309,0)),0))</f>
        <v>0</v>
      </c>
      <c r="M175" s="25" t="str">
        <f>IF($A175="","",D175+F175+H175+J175+L175)</f>
        <v/>
      </c>
      <c r="N175" s="26" t="str">
        <f>IF(OR($A175="",M175="",M175=0),"",RANK(M175,$M$4:$M$203,0))</f>
        <v/>
      </c>
      <c r="AA175">
        <f>Scherpenzeel!C297</f>
        <v>0</v>
      </c>
      <c r="AB175">
        <f>IF(AA175="",0,IF(COUNTIF($AA$1:AA175,AA175)=1,1,0))</f>
        <v>0</v>
      </c>
      <c r="AC175" t="str">
        <f>IF(AB175=1,COUNTIF($AB$1:AB175,1),"")</f>
        <v/>
      </c>
    </row>
    <row r="176" spans="1:29" x14ac:dyDescent="0.25">
      <c r="A176" s="13" t="str">
        <f>IFERROR(INDEX($AA$1:$AA$387,MATCH(173,$AC$1:$AC$387,0)),"")</f>
        <v/>
      </c>
      <c r="B176" s="13" t="str">
        <f>IF($A176="","",IF(IFERROR(INDEX(Baarn!$F$43:$F$129,MATCH($A176,Baarn!$C$43:$C$129,0)),"")&lt;&gt;"",IFERROR(INDEX(Baarn!$F$43:$F$129,MATCH($A176,Baarn!$C$43:$C$129,0)),""),IF(IFERROR(INDEX(Scherpenzeel!$F$210:$F$309,MATCH($A176,Scherpenzeel!$C$210:$C$309,0)),"")&lt;&gt;"",IFERROR(INDEX(Scherpenzeel!$F$210:$F$309,MATCH($A176,Scherpenzeel!$C$210:$C$309,0)),""),IF(IFERROR(INDEX('4'!$F$210:$F$309,MATCH($A176,'4'!$C$210:$C$309,0)),"")&lt;&gt;"",IFERROR(INDEX('4'!$F$210:$F$309,MATCH($A176,'4'!$C$210:$C$309,0)),""),IFERROR(INDEX('5'!$F$210:$F$309,MATCH($A176,'5'!$C$210:$C$309,0)),"")))))</f>
        <v/>
      </c>
      <c r="C176" s="24" t="str">
        <f>""</f>
        <v/>
      </c>
      <c r="D176" s="15">
        <f>0</f>
        <v>0</v>
      </c>
      <c r="E176" s="24" t="str">
        <f>IF($A176="","",IFERROR(INDEX(Baarn!$A$43:$A$129,MATCH($A176,Baarn!$C$43:$C$129,0)),""))</f>
        <v/>
      </c>
      <c r="F176" s="15">
        <f>IF($A176="",0,IFERROR(INDEX(Baarn!$I$43:$I$129,MATCH($A176,Baarn!$C$43:$C$129,0)),0))</f>
        <v>0</v>
      </c>
      <c r="G176" s="24" t="str">
        <f>IF($A176="","",IFERROR(INDEX(Scherpenzeel!$A$210:$A$309,MATCH($A176,Scherpenzeel!$C$210:$C$309,0)),""))</f>
        <v/>
      </c>
      <c r="H176" s="15">
        <f>IF($A176="",0,IFERROR(INDEX(Scherpenzeel!$I$210:$I$309,MATCH($A176,Scherpenzeel!$C$210:$C$309,0)),0))</f>
        <v>0</v>
      </c>
      <c r="I176" s="24" t="str">
        <f>IF($A176="","",IFERROR(INDEX('4'!$A$210:$A$309,MATCH($A176,'4'!$C$210:$C$309,0)),""))</f>
        <v/>
      </c>
      <c r="J176" s="15">
        <f>IF($A176="",0,IFERROR(INDEX('4'!$I$210:$I$309,MATCH($A176,'4'!$C$210:$C$309,0)),0))</f>
        <v>0</v>
      </c>
      <c r="K176" s="24" t="str">
        <f>IF($A176="","",IFERROR(INDEX('5'!$A$210:$A$309,MATCH($A176,'5'!$C$210:$C$309,0)),""))</f>
        <v/>
      </c>
      <c r="L176" s="15">
        <f>IF($A176="",0,IFERROR(INDEX('5'!$I$210:$I$309,MATCH($A176,'5'!$C$210:$C$309,0)),0))</f>
        <v>0</v>
      </c>
      <c r="M176" s="25" t="str">
        <f>IF($A176="","",D176+F176+H176+J176+L176)</f>
        <v/>
      </c>
      <c r="N176" s="26" t="str">
        <f>IF(OR($A176="",M176="",M176=0),"",RANK(M176,$M$4:$M$203,0))</f>
        <v/>
      </c>
      <c r="AA176">
        <f>Scherpenzeel!C298</f>
        <v>0</v>
      </c>
      <c r="AB176">
        <f>IF(AA176="",0,IF(COUNTIF($AA$1:AA176,AA176)=1,1,0))</f>
        <v>0</v>
      </c>
      <c r="AC176" t="str">
        <f>IF(AB176=1,COUNTIF($AB$1:AB176,1),"")</f>
        <v/>
      </c>
    </row>
    <row r="177" spans="1:29" x14ac:dyDescent="0.25">
      <c r="A177" s="13" t="str">
        <f>IFERROR(INDEX($AA$1:$AA$387,MATCH(174,$AC$1:$AC$387,0)),"")</f>
        <v/>
      </c>
      <c r="B177" s="13" t="str">
        <f>IF($A177="","",IF(IFERROR(INDEX(Baarn!$F$43:$F$129,MATCH($A177,Baarn!$C$43:$C$129,0)),"")&lt;&gt;"",IFERROR(INDEX(Baarn!$F$43:$F$129,MATCH($A177,Baarn!$C$43:$C$129,0)),""),IF(IFERROR(INDEX(Scherpenzeel!$F$210:$F$309,MATCH($A177,Scherpenzeel!$C$210:$C$309,0)),"")&lt;&gt;"",IFERROR(INDEX(Scherpenzeel!$F$210:$F$309,MATCH($A177,Scherpenzeel!$C$210:$C$309,0)),""),IF(IFERROR(INDEX('4'!$F$210:$F$309,MATCH($A177,'4'!$C$210:$C$309,0)),"")&lt;&gt;"",IFERROR(INDEX('4'!$F$210:$F$309,MATCH($A177,'4'!$C$210:$C$309,0)),""),IFERROR(INDEX('5'!$F$210:$F$309,MATCH($A177,'5'!$C$210:$C$309,0)),"")))))</f>
        <v/>
      </c>
      <c r="C177" s="24" t="str">
        <f>""</f>
        <v/>
      </c>
      <c r="D177" s="15">
        <f>0</f>
        <v>0</v>
      </c>
      <c r="E177" s="24" t="str">
        <f>IF($A177="","",IFERROR(INDEX(Baarn!$A$43:$A$129,MATCH($A177,Baarn!$C$43:$C$129,0)),""))</f>
        <v/>
      </c>
      <c r="F177" s="15">
        <f>IF($A177="",0,IFERROR(INDEX(Baarn!$I$43:$I$129,MATCH($A177,Baarn!$C$43:$C$129,0)),0))</f>
        <v>0</v>
      </c>
      <c r="G177" s="24" t="str">
        <f>IF($A177="","",IFERROR(INDEX(Scherpenzeel!$A$210:$A$309,MATCH($A177,Scherpenzeel!$C$210:$C$309,0)),""))</f>
        <v/>
      </c>
      <c r="H177" s="15">
        <f>IF($A177="",0,IFERROR(INDEX(Scherpenzeel!$I$210:$I$309,MATCH($A177,Scherpenzeel!$C$210:$C$309,0)),0))</f>
        <v>0</v>
      </c>
      <c r="I177" s="24" t="str">
        <f>IF($A177="","",IFERROR(INDEX('4'!$A$210:$A$309,MATCH($A177,'4'!$C$210:$C$309,0)),""))</f>
        <v/>
      </c>
      <c r="J177" s="15">
        <f>IF($A177="",0,IFERROR(INDEX('4'!$I$210:$I$309,MATCH($A177,'4'!$C$210:$C$309,0)),0))</f>
        <v>0</v>
      </c>
      <c r="K177" s="24" t="str">
        <f>IF($A177="","",IFERROR(INDEX('5'!$A$210:$A$309,MATCH($A177,'5'!$C$210:$C$309,0)),""))</f>
        <v/>
      </c>
      <c r="L177" s="15">
        <f>IF($A177="",0,IFERROR(INDEX('5'!$I$210:$I$309,MATCH($A177,'5'!$C$210:$C$309,0)),0))</f>
        <v>0</v>
      </c>
      <c r="M177" s="25" t="str">
        <f>IF($A177="","",D177+F177+H177+J177+L177)</f>
        <v/>
      </c>
      <c r="N177" s="26" t="str">
        <f>IF(OR($A177="",M177="",M177=0),"",RANK(M177,$M$4:$M$203,0))</f>
        <v/>
      </c>
      <c r="AA177">
        <f>Scherpenzeel!C299</f>
        <v>0</v>
      </c>
      <c r="AB177">
        <f>IF(AA177="",0,IF(COUNTIF($AA$1:AA177,AA177)=1,1,0))</f>
        <v>0</v>
      </c>
      <c r="AC177" t="str">
        <f>IF(AB177=1,COUNTIF($AB$1:AB177,1),"")</f>
        <v/>
      </c>
    </row>
    <row r="178" spans="1:29" x14ac:dyDescent="0.25">
      <c r="A178" s="13" t="str">
        <f>IFERROR(INDEX($AA$1:$AA$387,MATCH(175,$AC$1:$AC$387,0)),"")</f>
        <v/>
      </c>
      <c r="B178" s="13" t="str">
        <f>IF($A178="","",IF(IFERROR(INDEX(Baarn!$F$43:$F$129,MATCH($A178,Baarn!$C$43:$C$129,0)),"")&lt;&gt;"",IFERROR(INDEX(Baarn!$F$43:$F$129,MATCH($A178,Baarn!$C$43:$C$129,0)),""),IF(IFERROR(INDEX(Scherpenzeel!$F$210:$F$309,MATCH($A178,Scherpenzeel!$C$210:$C$309,0)),"")&lt;&gt;"",IFERROR(INDEX(Scherpenzeel!$F$210:$F$309,MATCH($A178,Scherpenzeel!$C$210:$C$309,0)),""),IF(IFERROR(INDEX('4'!$F$210:$F$309,MATCH($A178,'4'!$C$210:$C$309,0)),"")&lt;&gt;"",IFERROR(INDEX('4'!$F$210:$F$309,MATCH($A178,'4'!$C$210:$C$309,0)),""),IFERROR(INDEX('5'!$F$210:$F$309,MATCH($A178,'5'!$C$210:$C$309,0)),"")))))</f>
        <v/>
      </c>
      <c r="C178" s="24" t="str">
        <f>""</f>
        <v/>
      </c>
      <c r="D178" s="15">
        <f>0</f>
        <v>0</v>
      </c>
      <c r="E178" s="24" t="str">
        <f>IF($A178="","",IFERROR(INDEX(Baarn!$A$43:$A$129,MATCH($A178,Baarn!$C$43:$C$129,0)),""))</f>
        <v/>
      </c>
      <c r="F178" s="15">
        <f>IF($A178="",0,IFERROR(INDEX(Baarn!$I$43:$I$129,MATCH($A178,Baarn!$C$43:$C$129,0)),0))</f>
        <v>0</v>
      </c>
      <c r="G178" s="24" t="str">
        <f>IF($A178="","",IFERROR(INDEX(Scherpenzeel!$A$210:$A$309,MATCH($A178,Scherpenzeel!$C$210:$C$309,0)),""))</f>
        <v/>
      </c>
      <c r="H178" s="15">
        <f>IF($A178="",0,IFERROR(INDEX(Scherpenzeel!$I$210:$I$309,MATCH($A178,Scherpenzeel!$C$210:$C$309,0)),0))</f>
        <v>0</v>
      </c>
      <c r="I178" s="24" t="str">
        <f>IF($A178="","",IFERROR(INDEX('4'!$A$210:$A$309,MATCH($A178,'4'!$C$210:$C$309,0)),""))</f>
        <v/>
      </c>
      <c r="J178" s="15">
        <f>IF($A178="",0,IFERROR(INDEX('4'!$I$210:$I$309,MATCH($A178,'4'!$C$210:$C$309,0)),0))</f>
        <v>0</v>
      </c>
      <c r="K178" s="24" t="str">
        <f>IF($A178="","",IFERROR(INDEX('5'!$A$210:$A$309,MATCH($A178,'5'!$C$210:$C$309,0)),""))</f>
        <v/>
      </c>
      <c r="L178" s="15">
        <f>IF($A178="",0,IFERROR(INDEX('5'!$I$210:$I$309,MATCH($A178,'5'!$C$210:$C$309,0)),0))</f>
        <v>0</v>
      </c>
      <c r="M178" s="25" t="str">
        <f>IF($A178="","",D178+F178+H178+J178+L178)</f>
        <v/>
      </c>
      <c r="N178" s="26" t="str">
        <f>IF(OR($A178="",M178="",M178=0),"",RANK(M178,$M$4:$M$203,0))</f>
        <v/>
      </c>
      <c r="AA178">
        <f>Scherpenzeel!C300</f>
        <v>0</v>
      </c>
      <c r="AB178">
        <f>IF(AA178="",0,IF(COUNTIF($AA$1:AA178,AA178)=1,1,0))</f>
        <v>0</v>
      </c>
      <c r="AC178" t="str">
        <f>IF(AB178=1,COUNTIF($AB$1:AB178,1),"")</f>
        <v/>
      </c>
    </row>
    <row r="179" spans="1:29" x14ac:dyDescent="0.25">
      <c r="A179" s="13" t="str">
        <f>IFERROR(INDEX($AA$1:$AA$387,MATCH(176,$AC$1:$AC$387,0)),"")</f>
        <v/>
      </c>
      <c r="B179" s="13" t="str">
        <f>IF($A179="","",IF(IFERROR(INDEX(Baarn!$F$43:$F$129,MATCH($A179,Baarn!$C$43:$C$129,0)),"")&lt;&gt;"",IFERROR(INDEX(Baarn!$F$43:$F$129,MATCH($A179,Baarn!$C$43:$C$129,0)),""),IF(IFERROR(INDEX(Scherpenzeel!$F$210:$F$309,MATCH($A179,Scherpenzeel!$C$210:$C$309,0)),"")&lt;&gt;"",IFERROR(INDEX(Scherpenzeel!$F$210:$F$309,MATCH($A179,Scherpenzeel!$C$210:$C$309,0)),""),IF(IFERROR(INDEX('4'!$F$210:$F$309,MATCH($A179,'4'!$C$210:$C$309,0)),"")&lt;&gt;"",IFERROR(INDEX('4'!$F$210:$F$309,MATCH($A179,'4'!$C$210:$C$309,0)),""),IFERROR(INDEX('5'!$F$210:$F$309,MATCH($A179,'5'!$C$210:$C$309,0)),"")))))</f>
        <v/>
      </c>
      <c r="C179" s="24" t="str">
        <f>""</f>
        <v/>
      </c>
      <c r="D179" s="15">
        <f>0</f>
        <v>0</v>
      </c>
      <c r="E179" s="24" t="str">
        <f>IF($A179="","",IFERROR(INDEX(Baarn!$A$43:$A$129,MATCH($A179,Baarn!$C$43:$C$129,0)),""))</f>
        <v/>
      </c>
      <c r="F179" s="15">
        <f>IF($A179="",0,IFERROR(INDEX(Baarn!$I$43:$I$129,MATCH($A179,Baarn!$C$43:$C$129,0)),0))</f>
        <v>0</v>
      </c>
      <c r="G179" s="24" t="str">
        <f>IF($A179="","",IFERROR(INDEX(Scherpenzeel!$A$210:$A$309,MATCH($A179,Scherpenzeel!$C$210:$C$309,0)),""))</f>
        <v/>
      </c>
      <c r="H179" s="15">
        <f>IF($A179="",0,IFERROR(INDEX(Scherpenzeel!$I$210:$I$309,MATCH($A179,Scherpenzeel!$C$210:$C$309,0)),0))</f>
        <v>0</v>
      </c>
      <c r="I179" s="24" t="str">
        <f>IF($A179="","",IFERROR(INDEX('4'!$A$210:$A$309,MATCH($A179,'4'!$C$210:$C$309,0)),""))</f>
        <v/>
      </c>
      <c r="J179" s="15">
        <f>IF($A179="",0,IFERROR(INDEX('4'!$I$210:$I$309,MATCH($A179,'4'!$C$210:$C$309,0)),0))</f>
        <v>0</v>
      </c>
      <c r="K179" s="24" t="str">
        <f>IF($A179="","",IFERROR(INDEX('5'!$A$210:$A$309,MATCH($A179,'5'!$C$210:$C$309,0)),""))</f>
        <v/>
      </c>
      <c r="L179" s="15">
        <f>IF($A179="",0,IFERROR(INDEX('5'!$I$210:$I$309,MATCH($A179,'5'!$C$210:$C$309,0)),0))</f>
        <v>0</v>
      </c>
      <c r="M179" s="25" t="str">
        <f>IF($A179="","",D179+F179+H179+J179+L179)</f>
        <v/>
      </c>
      <c r="N179" s="26" t="str">
        <f>IF(OR($A179="",M179="",M179=0),"",RANK(M179,$M$4:$M$203,0))</f>
        <v/>
      </c>
      <c r="AA179">
        <f>Scherpenzeel!C301</f>
        <v>0</v>
      </c>
      <c r="AB179">
        <f>IF(AA179="",0,IF(COUNTIF($AA$1:AA179,AA179)=1,1,0))</f>
        <v>0</v>
      </c>
      <c r="AC179" t="str">
        <f>IF(AB179=1,COUNTIF($AB$1:AB179,1),"")</f>
        <v/>
      </c>
    </row>
    <row r="180" spans="1:29" x14ac:dyDescent="0.25">
      <c r="A180" s="13" t="str">
        <f>IFERROR(INDEX($AA$1:$AA$387,MATCH(177,$AC$1:$AC$387,0)),"")</f>
        <v/>
      </c>
      <c r="B180" s="13" t="str">
        <f>IF($A180="","",IF(IFERROR(INDEX(Baarn!$F$43:$F$129,MATCH($A180,Baarn!$C$43:$C$129,0)),"")&lt;&gt;"",IFERROR(INDEX(Baarn!$F$43:$F$129,MATCH($A180,Baarn!$C$43:$C$129,0)),""),IF(IFERROR(INDEX(Scherpenzeel!$F$210:$F$309,MATCH($A180,Scherpenzeel!$C$210:$C$309,0)),"")&lt;&gt;"",IFERROR(INDEX(Scherpenzeel!$F$210:$F$309,MATCH($A180,Scherpenzeel!$C$210:$C$309,0)),""),IF(IFERROR(INDEX('4'!$F$210:$F$309,MATCH($A180,'4'!$C$210:$C$309,0)),"")&lt;&gt;"",IFERROR(INDEX('4'!$F$210:$F$309,MATCH($A180,'4'!$C$210:$C$309,0)),""),IFERROR(INDEX('5'!$F$210:$F$309,MATCH($A180,'5'!$C$210:$C$309,0)),"")))))</f>
        <v/>
      </c>
      <c r="C180" s="24" t="str">
        <f>""</f>
        <v/>
      </c>
      <c r="D180" s="15">
        <f>0</f>
        <v>0</v>
      </c>
      <c r="E180" s="24" t="str">
        <f>IF($A180="","",IFERROR(INDEX(Baarn!$A$43:$A$129,MATCH($A180,Baarn!$C$43:$C$129,0)),""))</f>
        <v/>
      </c>
      <c r="F180" s="15">
        <f>IF($A180="",0,IFERROR(INDEX(Baarn!$I$43:$I$129,MATCH($A180,Baarn!$C$43:$C$129,0)),0))</f>
        <v>0</v>
      </c>
      <c r="G180" s="24" t="str">
        <f>IF($A180="","",IFERROR(INDEX(Scherpenzeel!$A$210:$A$309,MATCH($A180,Scherpenzeel!$C$210:$C$309,0)),""))</f>
        <v/>
      </c>
      <c r="H180" s="15">
        <f>IF($A180="",0,IFERROR(INDEX(Scherpenzeel!$I$210:$I$309,MATCH($A180,Scherpenzeel!$C$210:$C$309,0)),0))</f>
        <v>0</v>
      </c>
      <c r="I180" s="24" t="str">
        <f>IF($A180="","",IFERROR(INDEX('4'!$A$210:$A$309,MATCH($A180,'4'!$C$210:$C$309,0)),""))</f>
        <v/>
      </c>
      <c r="J180" s="15">
        <f>IF($A180="",0,IFERROR(INDEX('4'!$I$210:$I$309,MATCH($A180,'4'!$C$210:$C$309,0)),0))</f>
        <v>0</v>
      </c>
      <c r="K180" s="24" t="str">
        <f>IF($A180="","",IFERROR(INDEX('5'!$A$210:$A$309,MATCH($A180,'5'!$C$210:$C$309,0)),""))</f>
        <v/>
      </c>
      <c r="L180" s="15">
        <f>IF($A180="",0,IFERROR(INDEX('5'!$I$210:$I$309,MATCH($A180,'5'!$C$210:$C$309,0)),0))</f>
        <v>0</v>
      </c>
      <c r="M180" s="25" t="str">
        <f>IF($A180="","",D180+F180+H180+J180+L180)</f>
        <v/>
      </c>
      <c r="N180" s="26" t="str">
        <f>IF(OR($A180="",M180="",M180=0),"",RANK(M180,$M$4:$M$203,0))</f>
        <v/>
      </c>
      <c r="AA180">
        <f>Scherpenzeel!C302</f>
        <v>0</v>
      </c>
      <c r="AB180">
        <f>IF(AA180="",0,IF(COUNTIF($AA$1:AA180,AA180)=1,1,0))</f>
        <v>0</v>
      </c>
      <c r="AC180" t="str">
        <f>IF(AB180=1,COUNTIF($AB$1:AB180,1),"")</f>
        <v/>
      </c>
    </row>
    <row r="181" spans="1:29" x14ac:dyDescent="0.25">
      <c r="A181" s="13" t="str">
        <f>IFERROR(INDEX($AA$1:$AA$387,MATCH(178,$AC$1:$AC$387,0)),"")</f>
        <v/>
      </c>
      <c r="B181" s="13" t="str">
        <f>IF($A181="","",IF(IFERROR(INDEX(Baarn!$F$43:$F$129,MATCH($A181,Baarn!$C$43:$C$129,0)),"")&lt;&gt;"",IFERROR(INDEX(Baarn!$F$43:$F$129,MATCH($A181,Baarn!$C$43:$C$129,0)),""),IF(IFERROR(INDEX(Scherpenzeel!$F$210:$F$309,MATCH($A181,Scherpenzeel!$C$210:$C$309,0)),"")&lt;&gt;"",IFERROR(INDEX(Scherpenzeel!$F$210:$F$309,MATCH($A181,Scherpenzeel!$C$210:$C$309,0)),""),IF(IFERROR(INDEX('4'!$F$210:$F$309,MATCH($A181,'4'!$C$210:$C$309,0)),"")&lt;&gt;"",IFERROR(INDEX('4'!$F$210:$F$309,MATCH($A181,'4'!$C$210:$C$309,0)),""),IFERROR(INDEX('5'!$F$210:$F$309,MATCH($A181,'5'!$C$210:$C$309,0)),"")))))</f>
        <v/>
      </c>
      <c r="C181" s="24" t="str">
        <f>""</f>
        <v/>
      </c>
      <c r="D181" s="15">
        <f>0</f>
        <v>0</v>
      </c>
      <c r="E181" s="24" t="str">
        <f>IF($A181="","",IFERROR(INDEX(Baarn!$A$43:$A$129,MATCH($A181,Baarn!$C$43:$C$129,0)),""))</f>
        <v/>
      </c>
      <c r="F181" s="15">
        <f>IF($A181="",0,IFERROR(INDEX(Baarn!$I$43:$I$129,MATCH($A181,Baarn!$C$43:$C$129,0)),0))</f>
        <v>0</v>
      </c>
      <c r="G181" s="24" t="str">
        <f>IF($A181="","",IFERROR(INDEX(Scherpenzeel!$A$210:$A$309,MATCH($A181,Scherpenzeel!$C$210:$C$309,0)),""))</f>
        <v/>
      </c>
      <c r="H181" s="15">
        <f>IF($A181="",0,IFERROR(INDEX(Scherpenzeel!$I$210:$I$309,MATCH($A181,Scherpenzeel!$C$210:$C$309,0)),0))</f>
        <v>0</v>
      </c>
      <c r="I181" s="24" t="str">
        <f>IF($A181="","",IFERROR(INDEX('4'!$A$210:$A$309,MATCH($A181,'4'!$C$210:$C$309,0)),""))</f>
        <v/>
      </c>
      <c r="J181" s="15">
        <f>IF($A181="",0,IFERROR(INDEX('4'!$I$210:$I$309,MATCH($A181,'4'!$C$210:$C$309,0)),0))</f>
        <v>0</v>
      </c>
      <c r="K181" s="24" t="str">
        <f>IF($A181="","",IFERROR(INDEX('5'!$A$210:$A$309,MATCH($A181,'5'!$C$210:$C$309,0)),""))</f>
        <v/>
      </c>
      <c r="L181" s="15">
        <f>IF($A181="",0,IFERROR(INDEX('5'!$I$210:$I$309,MATCH($A181,'5'!$C$210:$C$309,0)),0))</f>
        <v>0</v>
      </c>
      <c r="M181" s="25" t="str">
        <f>IF($A181="","",D181+F181+H181+J181+L181)</f>
        <v/>
      </c>
      <c r="N181" s="26" t="str">
        <f>IF(OR($A181="",M181="",M181=0),"",RANK(M181,$M$4:$M$203,0))</f>
        <v/>
      </c>
      <c r="AA181">
        <f>Scherpenzeel!C303</f>
        <v>0</v>
      </c>
      <c r="AB181">
        <f>IF(AA181="",0,IF(COUNTIF($AA$1:AA181,AA181)=1,1,0))</f>
        <v>0</v>
      </c>
      <c r="AC181" t="str">
        <f>IF(AB181=1,COUNTIF($AB$1:AB181,1),"")</f>
        <v/>
      </c>
    </row>
    <row r="182" spans="1:29" x14ac:dyDescent="0.25">
      <c r="A182" s="13" t="str">
        <f>IFERROR(INDEX($AA$1:$AA$387,MATCH(179,$AC$1:$AC$387,0)),"")</f>
        <v/>
      </c>
      <c r="B182" s="13" t="str">
        <f>IF($A182="","",IF(IFERROR(INDEX(Baarn!$F$43:$F$129,MATCH($A182,Baarn!$C$43:$C$129,0)),"")&lt;&gt;"",IFERROR(INDEX(Baarn!$F$43:$F$129,MATCH($A182,Baarn!$C$43:$C$129,0)),""),IF(IFERROR(INDEX(Scherpenzeel!$F$210:$F$309,MATCH($A182,Scherpenzeel!$C$210:$C$309,0)),"")&lt;&gt;"",IFERROR(INDEX(Scherpenzeel!$F$210:$F$309,MATCH($A182,Scherpenzeel!$C$210:$C$309,0)),""),IF(IFERROR(INDEX('4'!$F$210:$F$309,MATCH($A182,'4'!$C$210:$C$309,0)),"")&lt;&gt;"",IFERROR(INDEX('4'!$F$210:$F$309,MATCH($A182,'4'!$C$210:$C$309,0)),""),IFERROR(INDEX('5'!$F$210:$F$309,MATCH($A182,'5'!$C$210:$C$309,0)),"")))))</f>
        <v/>
      </c>
      <c r="C182" s="24" t="str">
        <f>""</f>
        <v/>
      </c>
      <c r="D182" s="15">
        <f>0</f>
        <v>0</v>
      </c>
      <c r="E182" s="24" t="str">
        <f>IF($A182="","",IFERROR(INDEX(Baarn!$A$43:$A$129,MATCH($A182,Baarn!$C$43:$C$129,0)),""))</f>
        <v/>
      </c>
      <c r="F182" s="15">
        <f>IF($A182="",0,IFERROR(INDEX(Baarn!$I$43:$I$129,MATCH($A182,Baarn!$C$43:$C$129,0)),0))</f>
        <v>0</v>
      </c>
      <c r="G182" s="24" t="str">
        <f>IF($A182="","",IFERROR(INDEX(Scherpenzeel!$A$210:$A$309,MATCH($A182,Scherpenzeel!$C$210:$C$309,0)),""))</f>
        <v/>
      </c>
      <c r="H182" s="15">
        <f>IF($A182="",0,IFERROR(INDEX(Scherpenzeel!$I$210:$I$309,MATCH($A182,Scherpenzeel!$C$210:$C$309,0)),0))</f>
        <v>0</v>
      </c>
      <c r="I182" s="24" t="str">
        <f>IF($A182="","",IFERROR(INDEX('4'!$A$210:$A$309,MATCH($A182,'4'!$C$210:$C$309,0)),""))</f>
        <v/>
      </c>
      <c r="J182" s="15">
        <f>IF($A182="",0,IFERROR(INDEX('4'!$I$210:$I$309,MATCH($A182,'4'!$C$210:$C$309,0)),0))</f>
        <v>0</v>
      </c>
      <c r="K182" s="24" t="str">
        <f>IF($A182="","",IFERROR(INDEX('5'!$A$210:$A$309,MATCH($A182,'5'!$C$210:$C$309,0)),""))</f>
        <v/>
      </c>
      <c r="L182" s="15">
        <f>IF($A182="",0,IFERROR(INDEX('5'!$I$210:$I$309,MATCH($A182,'5'!$C$210:$C$309,0)),0))</f>
        <v>0</v>
      </c>
      <c r="M182" s="25" t="str">
        <f>IF($A182="","",D182+F182+H182+J182+L182)</f>
        <v/>
      </c>
      <c r="N182" s="26" t="str">
        <f>IF(OR($A182="",M182="",M182=0),"",RANK(M182,$M$4:$M$203,0))</f>
        <v/>
      </c>
      <c r="AA182">
        <f>Scherpenzeel!C304</f>
        <v>0</v>
      </c>
      <c r="AB182">
        <f>IF(AA182="",0,IF(COUNTIF($AA$1:AA182,AA182)=1,1,0))</f>
        <v>0</v>
      </c>
      <c r="AC182" t="str">
        <f>IF(AB182=1,COUNTIF($AB$1:AB182,1),"")</f>
        <v/>
      </c>
    </row>
    <row r="183" spans="1:29" x14ac:dyDescent="0.25">
      <c r="A183" s="13" t="str">
        <f>IFERROR(INDEX($AA$1:$AA$387,MATCH(180,$AC$1:$AC$387,0)),"")</f>
        <v/>
      </c>
      <c r="B183" s="13" t="str">
        <f>IF($A183="","",IF(IFERROR(INDEX(Baarn!$F$43:$F$129,MATCH($A183,Baarn!$C$43:$C$129,0)),"")&lt;&gt;"",IFERROR(INDEX(Baarn!$F$43:$F$129,MATCH($A183,Baarn!$C$43:$C$129,0)),""),IF(IFERROR(INDEX(Scherpenzeel!$F$210:$F$309,MATCH($A183,Scherpenzeel!$C$210:$C$309,0)),"")&lt;&gt;"",IFERROR(INDEX(Scherpenzeel!$F$210:$F$309,MATCH($A183,Scherpenzeel!$C$210:$C$309,0)),""),IF(IFERROR(INDEX('4'!$F$210:$F$309,MATCH($A183,'4'!$C$210:$C$309,0)),"")&lt;&gt;"",IFERROR(INDEX('4'!$F$210:$F$309,MATCH($A183,'4'!$C$210:$C$309,0)),""),IFERROR(INDEX('5'!$F$210:$F$309,MATCH($A183,'5'!$C$210:$C$309,0)),"")))))</f>
        <v/>
      </c>
      <c r="C183" s="24" t="str">
        <f>""</f>
        <v/>
      </c>
      <c r="D183" s="15">
        <f>0</f>
        <v>0</v>
      </c>
      <c r="E183" s="24" t="str">
        <f>IF($A183="","",IFERROR(INDEX(Baarn!$A$43:$A$129,MATCH($A183,Baarn!$C$43:$C$129,0)),""))</f>
        <v/>
      </c>
      <c r="F183" s="15">
        <f>IF($A183="",0,IFERROR(INDEX(Baarn!$I$43:$I$129,MATCH($A183,Baarn!$C$43:$C$129,0)),0))</f>
        <v>0</v>
      </c>
      <c r="G183" s="24" t="str">
        <f>IF($A183="","",IFERROR(INDEX(Scherpenzeel!$A$210:$A$309,MATCH($A183,Scherpenzeel!$C$210:$C$309,0)),""))</f>
        <v/>
      </c>
      <c r="H183" s="15">
        <f>IF($A183="",0,IFERROR(INDEX(Scherpenzeel!$I$210:$I$309,MATCH($A183,Scherpenzeel!$C$210:$C$309,0)),0))</f>
        <v>0</v>
      </c>
      <c r="I183" s="24" t="str">
        <f>IF($A183="","",IFERROR(INDEX('4'!$A$210:$A$309,MATCH($A183,'4'!$C$210:$C$309,0)),""))</f>
        <v/>
      </c>
      <c r="J183" s="15">
        <f>IF($A183="",0,IFERROR(INDEX('4'!$I$210:$I$309,MATCH($A183,'4'!$C$210:$C$309,0)),0))</f>
        <v>0</v>
      </c>
      <c r="K183" s="24" t="str">
        <f>IF($A183="","",IFERROR(INDEX('5'!$A$210:$A$309,MATCH($A183,'5'!$C$210:$C$309,0)),""))</f>
        <v/>
      </c>
      <c r="L183" s="15">
        <f>IF($A183="",0,IFERROR(INDEX('5'!$I$210:$I$309,MATCH($A183,'5'!$C$210:$C$309,0)),0))</f>
        <v>0</v>
      </c>
      <c r="M183" s="25" t="str">
        <f>IF($A183="","",D183+F183+H183+J183+L183)</f>
        <v/>
      </c>
      <c r="N183" s="26" t="str">
        <f>IF(OR($A183="",M183="",M183=0),"",RANK(M183,$M$4:$M$203,0))</f>
        <v/>
      </c>
      <c r="AA183">
        <f>Scherpenzeel!C305</f>
        <v>0</v>
      </c>
      <c r="AB183">
        <f>IF(AA183="",0,IF(COUNTIF($AA$1:AA183,AA183)=1,1,0))</f>
        <v>0</v>
      </c>
      <c r="AC183" t="str">
        <f>IF(AB183=1,COUNTIF($AB$1:AB183,1),"")</f>
        <v/>
      </c>
    </row>
    <row r="184" spans="1:29" x14ac:dyDescent="0.25">
      <c r="A184" s="13" t="str">
        <f>IFERROR(INDEX($AA$1:$AA$387,MATCH(181,$AC$1:$AC$387,0)),"")</f>
        <v/>
      </c>
      <c r="B184" s="13" t="str">
        <f>IF($A184="","",IF(IFERROR(INDEX(Baarn!$F$43:$F$129,MATCH($A184,Baarn!$C$43:$C$129,0)),"")&lt;&gt;"",IFERROR(INDEX(Baarn!$F$43:$F$129,MATCH($A184,Baarn!$C$43:$C$129,0)),""),IF(IFERROR(INDEX(Scherpenzeel!$F$210:$F$309,MATCH($A184,Scherpenzeel!$C$210:$C$309,0)),"")&lt;&gt;"",IFERROR(INDEX(Scherpenzeel!$F$210:$F$309,MATCH($A184,Scherpenzeel!$C$210:$C$309,0)),""),IF(IFERROR(INDEX('4'!$F$210:$F$309,MATCH($A184,'4'!$C$210:$C$309,0)),"")&lt;&gt;"",IFERROR(INDEX('4'!$F$210:$F$309,MATCH($A184,'4'!$C$210:$C$309,0)),""),IFERROR(INDEX('5'!$F$210:$F$309,MATCH($A184,'5'!$C$210:$C$309,0)),"")))))</f>
        <v/>
      </c>
      <c r="C184" s="24" t="str">
        <f>""</f>
        <v/>
      </c>
      <c r="D184" s="15">
        <f>0</f>
        <v>0</v>
      </c>
      <c r="E184" s="24" t="str">
        <f>IF($A184="","",IFERROR(INDEX(Baarn!$A$43:$A$129,MATCH($A184,Baarn!$C$43:$C$129,0)),""))</f>
        <v/>
      </c>
      <c r="F184" s="15">
        <f>IF($A184="",0,IFERROR(INDEX(Baarn!$I$43:$I$129,MATCH($A184,Baarn!$C$43:$C$129,0)),0))</f>
        <v>0</v>
      </c>
      <c r="G184" s="24" t="str">
        <f>IF($A184="","",IFERROR(INDEX(Scherpenzeel!$A$210:$A$309,MATCH($A184,Scherpenzeel!$C$210:$C$309,0)),""))</f>
        <v/>
      </c>
      <c r="H184" s="15">
        <f>IF($A184="",0,IFERROR(INDEX(Scherpenzeel!$I$210:$I$309,MATCH($A184,Scherpenzeel!$C$210:$C$309,0)),0))</f>
        <v>0</v>
      </c>
      <c r="I184" s="24" t="str">
        <f>IF($A184="","",IFERROR(INDEX('4'!$A$210:$A$309,MATCH($A184,'4'!$C$210:$C$309,0)),""))</f>
        <v/>
      </c>
      <c r="J184" s="15">
        <f>IF($A184="",0,IFERROR(INDEX('4'!$I$210:$I$309,MATCH($A184,'4'!$C$210:$C$309,0)),0))</f>
        <v>0</v>
      </c>
      <c r="K184" s="24" t="str">
        <f>IF($A184="","",IFERROR(INDEX('5'!$A$210:$A$309,MATCH($A184,'5'!$C$210:$C$309,0)),""))</f>
        <v/>
      </c>
      <c r="L184" s="15">
        <f>IF($A184="",0,IFERROR(INDEX('5'!$I$210:$I$309,MATCH($A184,'5'!$C$210:$C$309,0)),0))</f>
        <v>0</v>
      </c>
      <c r="M184" s="25" t="str">
        <f>IF($A184="","",D184+F184+H184+J184+L184)</f>
        <v/>
      </c>
      <c r="N184" s="26" t="str">
        <f>IF(OR($A184="",M184="",M184=0),"",RANK(M184,$M$4:$M$203,0))</f>
        <v/>
      </c>
      <c r="AA184">
        <f>Scherpenzeel!C306</f>
        <v>0</v>
      </c>
      <c r="AB184">
        <f>IF(AA184="",0,IF(COUNTIF($AA$1:AA184,AA184)=1,1,0))</f>
        <v>0</v>
      </c>
      <c r="AC184" t="str">
        <f>IF(AB184=1,COUNTIF($AB$1:AB184,1),"")</f>
        <v/>
      </c>
    </row>
    <row r="185" spans="1:29" x14ac:dyDescent="0.25">
      <c r="A185" s="13" t="str">
        <f>IFERROR(INDEX($AA$1:$AA$387,MATCH(182,$AC$1:$AC$387,0)),"")</f>
        <v/>
      </c>
      <c r="B185" s="13" t="str">
        <f>IF($A185="","",IF(IFERROR(INDEX(Baarn!$F$43:$F$129,MATCH($A185,Baarn!$C$43:$C$129,0)),"")&lt;&gt;"",IFERROR(INDEX(Baarn!$F$43:$F$129,MATCH($A185,Baarn!$C$43:$C$129,0)),""),IF(IFERROR(INDEX(Scherpenzeel!$F$210:$F$309,MATCH($A185,Scherpenzeel!$C$210:$C$309,0)),"")&lt;&gt;"",IFERROR(INDEX(Scherpenzeel!$F$210:$F$309,MATCH($A185,Scherpenzeel!$C$210:$C$309,0)),""),IF(IFERROR(INDEX('4'!$F$210:$F$309,MATCH($A185,'4'!$C$210:$C$309,0)),"")&lt;&gt;"",IFERROR(INDEX('4'!$F$210:$F$309,MATCH($A185,'4'!$C$210:$C$309,0)),""),IFERROR(INDEX('5'!$F$210:$F$309,MATCH($A185,'5'!$C$210:$C$309,0)),"")))))</f>
        <v/>
      </c>
      <c r="C185" s="24" t="str">
        <f>""</f>
        <v/>
      </c>
      <c r="D185" s="15">
        <f>0</f>
        <v>0</v>
      </c>
      <c r="E185" s="24" t="str">
        <f>IF($A185="","",IFERROR(INDEX(Baarn!$A$43:$A$129,MATCH($A185,Baarn!$C$43:$C$129,0)),""))</f>
        <v/>
      </c>
      <c r="F185" s="15">
        <f>IF($A185="",0,IFERROR(INDEX(Baarn!$I$43:$I$129,MATCH($A185,Baarn!$C$43:$C$129,0)),0))</f>
        <v>0</v>
      </c>
      <c r="G185" s="24" t="str">
        <f>IF($A185="","",IFERROR(INDEX(Scherpenzeel!$A$210:$A$309,MATCH($A185,Scherpenzeel!$C$210:$C$309,0)),""))</f>
        <v/>
      </c>
      <c r="H185" s="15">
        <f>IF($A185="",0,IFERROR(INDEX(Scherpenzeel!$I$210:$I$309,MATCH($A185,Scherpenzeel!$C$210:$C$309,0)),0))</f>
        <v>0</v>
      </c>
      <c r="I185" s="24" t="str">
        <f>IF($A185="","",IFERROR(INDEX('4'!$A$210:$A$309,MATCH($A185,'4'!$C$210:$C$309,0)),""))</f>
        <v/>
      </c>
      <c r="J185" s="15">
        <f>IF($A185="",0,IFERROR(INDEX('4'!$I$210:$I$309,MATCH($A185,'4'!$C$210:$C$309,0)),0))</f>
        <v>0</v>
      </c>
      <c r="K185" s="24" t="str">
        <f>IF($A185="","",IFERROR(INDEX('5'!$A$210:$A$309,MATCH($A185,'5'!$C$210:$C$309,0)),""))</f>
        <v/>
      </c>
      <c r="L185" s="15">
        <f>IF($A185="",0,IFERROR(INDEX('5'!$I$210:$I$309,MATCH($A185,'5'!$C$210:$C$309,0)),0))</f>
        <v>0</v>
      </c>
      <c r="M185" s="25" t="str">
        <f>IF($A185="","",D185+F185+H185+J185+L185)</f>
        <v/>
      </c>
      <c r="N185" s="26" t="str">
        <f>IF(OR($A185="",M185="",M185=0),"",RANK(M185,$M$4:$M$203,0))</f>
        <v/>
      </c>
      <c r="AA185">
        <f>Scherpenzeel!C307</f>
        <v>0</v>
      </c>
      <c r="AB185">
        <f>IF(AA185="",0,IF(COUNTIF($AA$1:AA185,AA185)=1,1,0))</f>
        <v>0</v>
      </c>
      <c r="AC185" t="str">
        <f>IF(AB185=1,COUNTIF($AB$1:AB185,1),"")</f>
        <v/>
      </c>
    </row>
    <row r="186" spans="1:29" x14ac:dyDescent="0.25">
      <c r="A186" s="13" t="str">
        <f>IFERROR(INDEX($AA$1:$AA$387,MATCH(183,$AC$1:$AC$387,0)),"")</f>
        <v/>
      </c>
      <c r="B186" s="13" t="str">
        <f>IF($A186="","",IF(IFERROR(INDEX(Baarn!$F$43:$F$129,MATCH($A186,Baarn!$C$43:$C$129,0)),"")&lt;&gt;"",IFERROR(INDEX(Baarn!$F$43:$F$129,MATCH($A186,Baarn!$C$43:$C$129,0)),""),IF(IFERROR(INDEX(Scherpenzeel!$F$210:$F$309,MATCH($A186,Scherpenzeel!$C$210:$C$309,0)),"")&lt;&gt;"",IFERROR(INDEX(Scherpenzeel!$F$210:$F$309,MATCH($A186,Scherpenzeel!$C$210:$C$309,0)),""),IF(IFERROR(INDEX('4'!$F$210:$F$309,MATCH($A186,'4'!$C$210:$C$309,0)),"")&lt;&gt;"",IFERROR(INDEX('4'!$F$210:$F$309,MATCH($A186,'4'!$C$210:$C$309,0)),""),IFERROR(INDEX('5'!$F$210:$F$309,MATCH($A186,'5'!$C$210:$C$309,0)),"")))))</f>
        <v/>
      </c>
      <c r="C186" s="24" t="str">
        <f>""</f>
        <v/>
      </c>
      <c r="D186" s="15">
        <f>0</f>
        <v>0</v>
      </c>
      <c r="E186" s="24" t="str">
        <f>IF($A186="","",IFERROR(INDEX(Baarn!$A$43:$A$129,MATCH($A186,Baarn!$C$43:$C$129,0)),""))</f>
        <v/>
      </c>
      <c r="F186" s="15">
        <f>IF($A186="",0,IFERROR(INDEX(Baarn!$I$43:$I$129,MATCH($A186,Baarn!$C$43:$C$129,0)),0))</f>
        <v>0</v>
      </c>
      <c r="G186" s="24" t="str">
        <f>IF($A186="","",IFERROR(INDEX(Scherpenzeel!$A$210:$A$309,MATCH($A186,Scherpenzeel!$C$210:$C$309,0)),""))</f>
        <v/>
      </c>
      <c r="H186" s="15">
        <f>IF($A186="",0,IFERROR(INDEX(Scherpenzeel!$I$210:$I$309,MATCH($A186,Scherpenzeel!$C$210:$C$309,0)),0))</f>
        <v>0</v>
      </c>
      <c r="I186" s="24" t="str">
        <f>IF($A186="","",IFERROR(INDEX('4'!$A$210:$A$309,MATCH($A186,'4'!$C$210:$C$309,0)),""))</f>
        <v/>
      </c>
      <c r="J186" s="15">
        <f>IF($A186="",0,IFERROR(INDEX('4'!$I$210:$I$309,MATCH($A186,'4'!$C$210:$C$309,0)),0))</f>
        <v>0</v>
      </c>
      <c r="K186" s="24" t="str">
        <f>IF($A186="","",IFERROR(INDEX('5'!$A$210:$A$309,MATCH($A186,'5'!$C$210:$C$309,0)),""))</f>
        <v/>
      </c>
      <c r="L186" s="15">
        <f>IF($A186="",0,IFERROR(INDEX('5'!$I$210:$I$309,MATCH($A186,'5'!$C$210:$C$309,0)),0))</f>
        <v>0</v>
      </c>
      <c r="M186" s="25" t="str">
        <f>IF($A186="","",D186+F186+H186+J186+L186)</f>
        <v/>
      </c>
      <c r="N186" s="26" t="str">
        <f>IF(OR($A186="",M186="",M186=0),"",RANK(M186,$M$4:$M$203,0))</f>
        <v/>
      </c>
      <c r="AA186">
        <f>Scherpenzeel!C308</f>
        <v>0</v>
      </c>
      <c r="AB186">
        <f>IF(AA186="",0,IF(COUNTIF($AA$1:AA186,AA186)=1,1,0))</f>
        <v>0</v>
      </c>
      <c r="AC186" t="str">
        <f>IF(AB186=1,COUNTIF($AB$1:AB186,1),"")</f>
        <v/>
      </c>
    </row>
    <row r="187" spans="1:29" x14ac:dyDescent="0.25">
      <c r="A187" s="13" t="str">
        <f>IFERROR(INDEX($AA$1:$AA$387,MATCH(184,$AC$1:$AC$387,0)),"")</f>
        <v/>
      </c>
      <c r="B187" s="13" t="str">
        <f>IF($A187="","",IF(IFERROR(INDEX(Baarn!$F$43:$F$129,MATCH($A187,Baarn!$C$43:$C$129,0)),"")&lt;&gt;"",IFERROR(INDEX(Baarn!$F$43:$F$129,MATCH($A187,Baarn!$C$43:$C$129,0)),""),IF(IFERROR(INDEX(Scherpenzeel!$F$210:$F$309,MATCH($A187,Scherpenzeel!$C$210:$C$309,0)),"")&lt;&gt;"",IFERROR(INDEX(Scherpenzeel!$F$210:$F$309,MATCH($A187,Scherpenzeel!$C$210:$C$309,0)),""),IF(IFERROR(INDEX('4'!$F$210:$F$309,MATCH($A187,'4'!$C$210:$C$309,0)),"")&lt;&gt;"",IFERROR(INDEX('4'!$F$210:$F$309,MATCH($A187,'4'!$C$210:$C$309,0)),""),IFERROR(INDEX('5'!$F$210:$F$309,MATCH($A187,'5'!$C$210:$C$309,0)),"")))))</f>
        <v/>
      </c>
      <c r="C187" s="24" t="str">
        <f>""</f>
        <v/>
      </c>
      <c r="D187" s="15">
        <f>0</f>
        <v>0</v>
      </c>
      <c r="E187" s="24" t="str">
        <f>IF($A187="","",IFERROR(INDEX(Baarn!$A$43:$A$129,MATCH($A187,Baarn!$C$43:$C$129,0)),""))</f>
        <v/>
      </c>
      <c r="F187" s="15">
        <f>IF($A187="",0,IFERROR(INDEX(Baarn!$I$43:$I$129,MATCH($A187,Baarn!$C$43:$C$129,0)),0))</f>
        <v>0</v>
      </c>
      <c r="G187" s="24" t="str">
        <f>IF($A187="","",IFERROR(INDEX(Scherpenzeel!$A$210:$A$309,MATCH($A187,Scherpenzeel!$C$210:$C$309,0)),""))</f>
        <v/>
      </c>
      <c r="H187" s="15">
        <f>IF($A187="",0,IFERROR(INDEX(Scherpenzeel!$I$210:$I$309,MATCH($A187,Scherpenzeel!$C$210:$C$309,0)),0))</f>
        <v>0</v>
      </c>
      <c r="I187" s="24" t="str">
        <f>IF($A187="","",IFERROR(INDEX('4'!$A$210:$A$309,MATCH($A187,'4'!$C$210:$C$309,0)),""))</f>
        <v/>
      </c>
      <c r="J187" s="15">
        <f>IF($A187="",0,IFERROR(INDEX('4'!$I$210:$I$309,MATCH($A187,'4'!$C$210:$C$309,0)),0))</f>
        <v>0</v>
      </c>
      <c r="K187" s="24" t="str">
        <f>IF($A187="","",IFERROR(INDEX('5'!$A$210:$A$309,MATCH($A187,'5'!$C$210:$C$309,0)),""))</f>
        <v/>
      </c>
      <c r="L187" s="15">
        <f>IF($A187="",0,IFERROR(INDEX('5'!$I$210:$I$309,MATCH($A187,'5'!$C$210:$C$309,0)),0))</f>
        <v>0</v>
      </c>
      <c r="M187" s="25" t="str">
        <f>IF($A187="","",D187+F187+H187+J187+L187)</f>
        <v/>
      </c>
      <c r="N187" s="26" t="str">
        <f>IF(OR($A187="",M187="",M187=0),"",RANK(M187,$M$4:$M$203,0))</f>
        <v/>
      </c>
      <c r="AA187">
        <f>Scherpenzeel!C309</f>
        <v>0</v>
      </c>
      <c r="AB187">
        <f>IF(AA187="",0,IF(COUNTIF($AA$1:AA187,AA187)=1,1,0))</f>
        <v>0</v>
      </c>
      <c r="AC187" t="str">
        <f>IF(AB187=1,COUNTIF($AB$1:AB187,1),"")</f>
        <v/>
      </c>
    </row>
    <row r="188" spans="1:29" x14ac:dyDescent="0.25">
      <c r="A188" s="13" t="str">
        <f>IFERROR(INDEX($AA$1:$AA$387,MATCH(185,$AC$1:$AC$387,0)),"")</f>
        <v/>
      </c>
      <c r="B188" s="13" t="str">
        <f>IF($A188="","",IF(IFERROR(INDEX(Baarn!$F$43:$F$129,MATCH($A188,Baarn!$C$43:$C$129,0)),"")&lt;&gt;"",IFERROR(INDEX(Baarn!$F$43:$F$129,MATCH($A188,Baarn!$C$43:$C$129,0)),""),IF(IFERROR(INDEX(Scherpenzeel!$F$210:$F$309,MATCH($A188,Scherpenzeel!$C$210:$C$309,0)),"")&lt;&gt;"",IFERROR(INDEX(Scherpenzeel!$F$210:$F$309,MATCH($A188,Scherpenzeel!$C$210:$C$309,0)),""),IF(IFERROR(INDEX('4'!$F$210:$F$309,MATCH($A188,'4'!$C$210:$C$309,0)),"")&lt;&gt;"",IFERROR(INDEX('4'!$F$210:$F$309,MATCH($A188,'4'!$C$210:$C$309,0)),""),IFERROR(INDEX('5'!$F$210:$F$309,MATCH($A188,'5'!$C$210:$C$309,0)),"")))))</f>
        <v/>
      </c>
      <c r="C188" s="24" t="str">
        <f>""</f>
        <v/>
      </c>
      <c r="D188" s="15">
        <f>0</f>
        <v>0</v>
      </c>
      <c r="E188" s="24" t="str">
        <f>IF($A188="","",IFERROR(INDEX(Baarn!$A$43:$A$129,MATCH($A188,Baarn!$C$43:$C$129,0)),""))</f>
        <v/>
      </c>
      <c r="F188" s="15">
        <f>IF($A188="",0,IFERROR(INDEX(Baarn!$I$43:$I$129,MATCH($A188,Baarn!$C$43:$C$129,0)),0))</f>
        <v>0</v>
      </c>
      <c r="G188" s="24" t="str">
        <f>IF($A188="","",IFERROR(INDEX(Scherpenzeel!$A$210:$A$309,MATCH($A188,Scherpenzeel!$C$210:$C$309,0)),""))</f>
        <v/>
      </c>
      <c r="H188" s="15">
        <f>IF($A188="",0,IFERROR(INDEX(Scherpenzeel!$I$210:$I$309,MATCH($A188,Scherpenzeel!$C$210:$C$309,0)),0))</f>
        <v>0</v>
      </c>
      <c r="I188" s="24" t="str">
        <f>IF($A188="","",IFERROR(INDEX('4'!$A$210:$A$309,MATCH($A188,'4'!$C$210:$C$309,0)),""))</f>
        <v/>
      </c>
      <c r="J188" s="15">
        <f>IF($A188="",0,IFERROR(INDEX('4'!$I$210:$I$309,MATCH($A188,'4'!$C$210:$C$309,0)),0))</f>
        <v>0</v>
      </c>
      <c r="K188" s="24" t="str">
        <f>IF($A188="","",IFERROR(INDEX('5'!$A$210:$A$309,MATCH($A188,'5'!$C$210:$C$309,0)),""))</f>
        <v/>
      </c>
      <c r="L188" s="15">
        <f>IF($A188="",0,IFERROR(INDEX('5'!$I$210:$I$309,MATCH($A188,'5'!$C$210:$C$309,0)),0))</f>
        <v>0</v>
      </c>
      <c r="M188" s="25" t="str">
        <f>IF($A188="","",D188+F188+H188+J188+L188)</f>
        <v/>
      </c>
      <c r="N188" s="26" t="str">
        <f>IF(OR($A188="",M188="",M188=0),"",RANK(M188,$M$4:$M$203,0))</f>
        <v/>
      </c>
      <c r="AA188">
        <f>'4'!C210</f>
        <v>0</v>
      </c>
      <c r="AB188">
        <f>IF(AA188="",0,IF(COUNTIF($AA$1:AA188,AA188)=1,1,0))</f>
        <v>0</v>
      </c>
      <c r="AC188" t="str">
        <f>IF(AB188=1,COUNTIF($AB$1:AB188,1),"")</f>
        <v/>
      </c>
    </row>
    <row r="189" spans="1:29" x14ac:dyDescent="0.25">
      <c r="A189" s="13" t="str">
        <f>IFERROR(INDEX($AA$1:$AA$387,MATCH(186,$AC$1:$AC$387,0)),"")</f>
        <v/>
      </c>
      <c r="B189" s="13" t="str">
        <f>IF($A189="","",IF(IFERROR(INDEX(Baarn!$F$43:$F$129,MATCH($A189,Baarn!$C$43:$C$129,0)),"")&lt;&gt;"",IFERROR(INDEX(Baarn!$F$43:$F$129,MATCH($A189,Baarn!$C$43:$C$129,0)),""),IF(IFERROR(INDEX(Scherpenzeel!$F$210:$F$309,MATCH($A189,Scherpenzeel!$C$210:$C$309,0)),"")&lt;&gt;"",IFERROR(INDEX(Scherpenzeel!$F$210:$F$309,MATCH($A189,Scherpenzeel!$C$210:$C$309,0)),""),IF(IFERROR(INDEX('4'!$F$210:$F$309,MATCH($A189,'4'!$C$210:$C$309,0)),"")&lt;&gt;"",IFERROR(INDEX('4'!$F$210:$F$309,MATCH($A189,'4'!$C$210:$C$309,0)),""),IFERROR(INDEX('5'!$F$210:$F$309,MATCH($A189,'5'!$C$210:$C$309,0)),"")))))</f>
        <v/>
      </c>
      <c r="C189" s="24" t="str">
        <f>""</f>
        <v/>
      </c>
      <c r="D189" s="15">
        <f>0</f>
        <v>0</v>
      </c>
      <c r="E189" s="24" t="str">
        <f>IF($A189="","",IFERROR(INDEX(Baarn!$A$43:$A$129,MATCH($A189,Baarn!$C$43:$C$129,0)),""))</f>
        <v/>
      </c>
      <c r="F189" s="15">
        <f>IF($A189="",0,IFERROR(INDEX(Baarn!$I$43:$I$129,MATCH($A189,Baarn!$C$43:$C$129,0)),0))</f>
        <v>0</v>
      </c>
      <c r="G189" s="24" t="str">
        <f>IF($A189="","",IFERROR(INDEX(Scherpenzeel!$A$210:$A$309,MATCH($A189,Scherpenzeel!$C$210:$C$309,0)),""))</f>
        <v/>
      </c>
      <c r="H189" s="15">
        <f>IF($A189="",0,IFERROR(INDEX(Scherpenzeel!$I$210:$I$309,MATCH($A189,Scherpenzeel!$C$210:$C$309,0)),0))</f>
        <v>0</v>
      </c>
      <c r="I189" s="24" t="str">
        <f>IF($A189="","",IFERROR(INDEX('4'!$A$210:$A$309,MATCH($A189,'4'!$C$210:$C$309,0)),""))</f>
        <v/>
      </c>
      <c r="J189" s="15">
        <f>IF($A189="",0,IFERROR(INDEX('4'!$I$210:$I$309,MATCH($A189,'4'!$C$210:$C$309,0)),0))</f>
        <v>0</v>
      </c>
      <c r="K189" s="24" t="str">
        <f>IF($A189="","",IFERROR(INDEX('5'!$A$210:$A$309,MATCH($A189,'5'!$C$210:$C$309,0)),""))</f>
        <v/>
      </c>
      <c r="L189" s="15">
        <f>IF($A189="",0,IFERROR(INDEX('5'!$I$210:$I$309,MATCH($A189,'5'!$C$210:$C$309,0)),0))</f>
        <v>0</v>
      </c>
      <c r="M189" s="25" t="str">
        <f>IF($A189="","",D189+F189+H189+J189+L189)</f>
        <v/>
      </c>
      <c r="N189" s="26" t="str">
        <f>IF(OR($A189="",M189="",M189=0),"",RANK(M189,$M$4:$M$203,0))</f>
        <v/>
      </c>
      <c r="AA189">
        <f>'4'!C211</f>
        <v>0</v>
      </c>
      <c r="AB189">
        <f>IF(AA189="",0,IF(COUNTIF($AA$1:AA189,AA189)=1,1,0))</f>
        <v>0</v>
      </c>
      <c r="AC189" t="str">
        <f>IF(AB189=1,COUNTIF($AB$1:AB189,1),"")</f>
        <v/>
      </c>
    </row>
    <row r="190" spans="1:29" x14ac:dyDescent="0.25">
      <c r="A190" s="13" t="str">
        <f>IFERROR(INDEX($AA$1:$AA$387,MATCH(187,$AC$1:$AC$387,0)),"")</f>
        <v/>
      </c>
      <c r="B190" s="13" t="str">
        <f>IF($A190="","",IF(IFERROR(INDEX(Baarn!$F$43:$F$129,MATCH($A190,Baarn!$C$43:$C$129,0)),"")&lt;&gt;"",IFERROR(INDEX(Baarn!$F$43:$F$129,MATCH($A190,Baarn!$C$43:$C$129,0)),""),IF(IFERROR(INDEX(Scherpenzeel!$F$210:$F$309,MATCH($A190,Scherpenzeel!$C$210:$C$309,0)),"")&lt;&gt;"",IFERROR(INDEX(Scherpenzeel!$F$210:$F$309,MATCH($A190,Scherpenzeel!$C$210:$C$309,0)),""),IF(IFERROR(INDEX('4'!$F$210:$F$309,MATCH($A190,'4'!$C$210:$C$309,0)),"")&lt;&gt;"",IFERROR(INDEX('4'!$F$210:$F$309,MATCH($A190,'4'!$C$210:$C$309,0)),""),IFERROR(INDEX('5'!$F$210:$F$309,MATCH($A190,'5'!$C$210:$C$309,0)),"")))))</f>
        <v/>
      </c>
      <c r="C190" s="24" t="str">
        <f>""</f>
        <v/>
      </c>
      <c r="D190" s="15">
        <f>0</f>
        <v>0</v>
      </c>
      <c r="E190" s="24" t="str">
        <f>IF($A190="","",IFERROR(INDEX(Baarn!$A$43:$A$129,MATCH($A190,Baarn!$C$43:$C$129,0)),""))</f>
        <v/>
      </c>
      <c r="F190" s="15">
        <f>IF($A190="",0,IFERROR(INDEX(Baarn!$I$43:$I$129,MATCH($A190,Baarn!$C$43:$C$129,0)),0))</f>
        <v>0</v>
      </c>
      <c r="G190" s="24" t="str">
        <f>IF($A190="","",IFERROR(INDEX(Scherpenzeel!$A$210:$A$309,MATCH($A190,Scherpenzeel!$C$210:$C$309,0)),""))</f>
        <v/>
      </c>
      <c r="H190" s="15">
        <f>IF($A190="",0,IFERROR(INDEX(Scherpenzeel!$I$210:$I$309,MATCH($A190,Scherpenzeel!$C$210:$C$309,0)),0))</f>
        <v>0</v>
      </c>
      <c r="I190" s="24" t="str">
        <f>IF($A190="","",IFERROR(INDEX('4'!$A$210:$A$309,MATCH($A190,'4'!$C$210:$C$309,0)),""))</f>
        <v/>
      </c>
      <c r="J190" s="15">
        <f>IF($A190="",0,IFERROR(INDEX('4'!$I$210:$I$309,MATCH($A190,'4'!$C$210:$C$309,0)),0))</f>
        <v>0</v>
      </c>
      <c r="K190" s="24" t="str">
        <f>IF($A190="","",IFERROR(INDEX('5'!$A$210:$A$309,MATCH($A190,'5'!$C$210:$C$309,0)),""))</f>
        <v/>
      </c>
      <c r="L190" s="15">
        <f>IF($A190="",0,IFERROR(INDEX('5'!$I$210:$I$309,MATCH($A190,'5'!$C$210:$C$309,0)),0))</f>
        <v>0</v>
      </c>
      <c r="M190" s="25" t="str">
        <f>IF($A190="","",D190+F190+H190+J190+L190)</f>
        <v/>
      </c>
      <c r="N190" s="26" t="str">
        <f>IF(OR($A190="",M190="",M190=0),"",RANK(M190,$M$4:$M$203,0))</f>
        <v/>
      </c>
      <c r="AA190">
        <f>'4'!C212</f>
        <v>0</v>
      </c>
      <c r="AB190">
        <f>IF(AA190="",0,IF(COUNTIF($AA$1:AA190,AA190)=1,1,0))</f>
        <v>0</v>
      </c>
      <c r="AC190" t="str">
        <f>IF(AB190=1,COUNTIF($AB$1:AB190,1),"")</f>
        <v/>
      </c>
    </row>
    <row r="191" spans="1:29" x14ac:dyDescent="0.25">
      <c r="A191" s="13" t="str">
        <f>IFERROR(INDEX($AA$1:$AA$387,MATCH(188,$AC$1:$AC$387,0)),"")</f>
        <v/>
      </c>
      <c r="B191" s="13" t="str">
        <f>IF($A191="","",IF(IFERROR(INDEX(Baarn!$F$43:$F$129,MATCH($A191,Baarn!$C$43:$C$129,0)),"")&lt;&gt;"",IFERROR(INDEX(Baarn!$F$43:$F$129,MATCH($A191,Baarn!$C$43:$C$129,0)),""),IF(IFERROR(INDEX(Scherpenzeel!$F$210:$F$309,MATCH($A191,Scherpenzeel!$C$210:$C$309,0)),"")&lt;&gt;"",IFERROR(INDEX(Scherpenzeel!$F$210:$F$309,MATCH($A191,Scherpenzeel!$C$210:$C$309,0)),""),IF(IFERROR(INDEX('4'!$F$210:$F$309,MATCH($A191,'4'!$C$210:$C$309,0)),"")&lt;&gt;"",IFERROR(INDEX('4'!$F$210:$F$309,MATCH($A191,'4'!$C$210:$C$309,0)),""),IFERROR(INDEX('5'!$F$210:$F$309,MATCH($A191,'5'!$C$210:$C$309,0)),"")))))</f>
        <v/>
      </c>
      <c r="C191" s="24" t="str">
        <f>""</f>
        <v/>
      </c>
      <c r="D191" s="15">
        <f>0</f>
        <v>0</v>
      </c>
      <c r="E191" s="24" t="str">
        <f>IF($A191="","",IFERROR(INDEX(Baarn!$A$43:$A$129,MATCH($A191,Baarn!$C$43:$C$129,0)),""))</f>
        <v/>
      </c>
      <c r="F191" s="15">
        <f>IF($A191="",0,IFERROR(INDEX(Baarn!$I$43:$I$129,MATCH($A191,Baarn!$C$43:$C$129,0)),0))</f>
        <v>0</v>
      </c>
      <c r="G191" s="24" t="str">
        <f>IF($A191="","",IFERROR(INDEX(Scherpenzeel!$A$210:$A$309,MATCH($A191,Scherpenzeel!$C$210:$C$309,0)),""))</f>
        <v/>
      </c>
      <c r="H191" s="15">
        <f>IF($A191="",0,IFERROR(INDEX(Scherpenzeel!$I$210:$I$309,MATCH($A191,Scherpenzeel!$C$210:$C$309,0)),0))</f>
        <v>0</v>
      </c>
      <c r="I191" s="24" t="str">
        <f>IF($A191="","",IFERROR(INDEX('4'!$A$210:$A$309,MATCH($A191,'4'!$C$210:$C$309,0)),""))</f>
        <v/>
      </c>
      <c r="J191" s="15">
        <f>IF($A191="",0,IFERROR(INDEX('4'!$I$210:$I$309,MATCH($A191,'4'!$C$210:$C$309,0)),0))</f>
        <v>0</v>
      </c>
      <c r="K191" s="24" t="str">
        <f>IF($A191="","",IFERROR(INDEX('5'!$A$210:$A$309,MATCH($A191,'5'!$C$210:$C$309,0)),""))</f>
        <v/>
      </c>
      <c r="L191" s="15">
        <f>IF($A191="",0,IFERROR(INDEX('5'!$I$210:$I$309,MATCH($A191,'5'!$C$210:$C$309,0)),0))</f>
        <v>0</v>
      </c>
      <c r="M191" s="25" t="str">
        <f>IF($A191="","",D191+F191+H191+J191+L191)</f>
        <v/>
      </c>
      <c r="N191" s="26" t="str">
        <f>IF(OR($A191="",M191="",M191=0),"",RANK(M191,$M$4:$M$203,0))</f>
        <v/>
      </c>
      <c r="AA191">
        <f>'4'!C213</f>
        <v>0</v>
      </c>
      <c r="AB191">
        <f>IF(AA191="",0,IF(COUNTIF($AA$1:AA191,AA191)=1,1,0))</f>
        <v>0</v>
      </c>
      <c r="AC191" t="str">
        <f>IF(AB191=1,COUNTIF($AB$1:AB191,1),"")</f>
        <v/>
      </c>
    </row>
    <row r="192" spans="1:29" x14ac:dyDescent="0.25">
      <c r="A192" s="13" t="str">
        <f>IFERROR(INDEX($AA$1:$AA$387,MATCH(189,$AC$1:$AC$387,0)),"")</f>
        <v/>
      </c>
      <c r="B192" s="13" t="str">
        <f>IF($A192="","",IF(IFERROR(INDEX(Baarn!$F$43:$F$129,MATCH($A192,Baarn!$C$43:$C$129,0)),"")&lt;&gt;"",IFERROR(INDEX(Baarn!$F$43:$F$129,MATCH($A192,Baarn!$C$43:$C$129,0)),""),IF(IFERROR(INDEX(Scherpenzeel!$F$210:$F$309,MATCH($A192,Scherpenzeel!$C$210:$C$309,0)),"")&lt;&gt;"",IFERROR(INDEX(Scherpenzeel!$F$210:$F$309,MATCH($A192,Scherpenzeel!$C$210:$C$309,0)),""),IF(IFERROR(INDEX('4'!$F$210:$F$309,MATCH($A192,'4'!$C$210:$C$309,0)),"")&lt;&gt;"",IFERROR(INDEX('4'!$F$210:$F$309,MATCH($A192,'4'!$C$210:$C$309,0)),""),IFERROR(INDEX('5'!$F$210:$F$309,MATCH($A192,'5'!$C$210:$C$309,0)),"")))))</f>
        <v/>
      </c>
      <c r="C192" s="24" t="str">
        <f>""</f>
        <v/>
      </c>
      <c r="D192" s="15">
        <f>0</f>
        <v>0</v>
      </c>
      <c r="E192" s="24" t="str">
        <f>IF($A192="","",IFERROR(INDEX(Baarn!$A$43:$A$129,MATCH($A192,Baarn!$C$43:$C$129,0)),""))</f>
        <v/>
      </c>
      <c r="F192" s="15">
        <f>IF($A192="",0,IFERROR(INDEX(Baarn!$I$43:$I$129,MATCH($A192,Baarn!$C$43:$C$129,0)),0))</f>
        <v>0</v>
      </c>
      <c r="G192" s="24" t="str">
        <f>IF($A192="","",IFERROR(INDEX(Scherpenzeel!$A$210:$A$309,MATCH($A192,Scherpenzeel!$C$210:$C$309,0)),""))</f>
        <v/>
      </c>
      <c r="H192" s="15">
        <f>IF($A192="",0,IFERROR(INDEX(Scherpenzeel!$I$210:$I$309,MATCH($A192,Scherpenzeel!$C$210:$C$309,0)),0))</f>
        <v>0</v>
      </c>
      <c r="I192" s="24" t="str">
        <f>IF($A192="","",IFERROR(INDEX('4'!$A$210:$A$309,MATCH($A192,'4'!$C$210:$C$309,0)),""))</f>
        <v/>
      </c>
      <c r="J192" s="15">
        <f>IF($A192="",0,IFERROR(INDEX('4'!$I$210:$I$309,MATCH($A192,'4'!$C$210:$C$309,0)),0))</f>
        <v>0</v>
      </c>
      <c r="K192" s="24" t="str">
        <f>IF($A192="","",IFERROR(INDEX('5'!$A$210:$A$309,MATCH($A192,'5'!$C$210:$C$309,0)),""))</f>
        <v/>
      </c>
      <c r="L192" s="15">
        <f>IF($A192="",0,IFERROR(INDEX('5'!$I$210:$I$309,MATCH($A192,'5'!$C$210:$C$309,0)),0))</f>
        <v>0</v>
      </c>
      <c r="M192" s="25" t="str">
        <f>IF($A192="","",D192+F192+H192+J192+L192)</f>
        <v/>
      </c>
      <c r="N192" s="26" t="str">
        <f>IF(OR($A192="",M192="",M192=0),"",RANK(M192,$M$4:$M$203,0))</f>
        <v/>
      </c>
      <c r="AA192">
        <f>'4'!C214</f>
        <v>0</v>
      </c>
      <c r="AB192">
        <f>IF(AA192="",0,IF(COUNTIF($AA$1:AA192,AA192)=1,1,0))</f>
        <v>0</v>
      </c>
      <c r="AC192" t="str">
        <f>IF(AB192=1,COUNTIF($AB$1:AB192,1),"")</f>
        <v/>
      </c>
    </row>
    <row r="193" spans="1:29" x14ac:dyDescent="0.25">
      <c r="A193" s="13" t="str">
        <f>IFERROR(INDEX($AA$1:$AA$387,MATCH(190,$AC$1:$AC$387,0)),"")</f>
        <v/>
      </c>
      <c r="B193" s="13" t="str">
        <f>IF($A193="","",IF(IFERROR(INDEX(Baarn!$F$43:$F$129,MATCH($A193,Baarn!$C$43:$C$129,0)),"")&lt;&gt;"",IFERROR(INDEX(Baarn!$F$43:$F$129,MATCH($A193,Baarn!$C$43:$C$129,0)),""),IF(IFERROR(INDEX(Scherpenzeel!$F$210:$F$309,MATCH($A193,Scherpenzeel!$C$210:$C$309,0)),"")&lt;&gt;"",IFERROR(INDEX(Scherpenzeel!$F$210:$F$309,MATCH($A193,Scherpenzeel!$C$210:$C$309,0)),""),IF(IFERROR(INDEX('4'!$F$210:$F$309,MATCH($A193,'4'!$C$210:$C$309,0)),"")&lt;&gt;"",IFERROR(INDEX('4'!$F$210:$F$309,MATCH($A193,'4'!$C$210:$C$309,0)),""),IFERROR(INDEX('5'!$F$210:$F$309,MATCH($A193,'5'!$C$210:$C$309,0)),"")))))</f>
        <v/>
      </c>
      <c r="C193" s="24" t="str">
        <f>""</f>
        <v/>
      </c>
      <c r="D193" s="15">
        <f>0</f>
        <v>0</v>
      </c>
      <c r="E193" s="24" t="str">
        <f>IF($A193="","",IFERROR(INDEX(Baarn!$A$43:$A$129,MATCH($A193,Baarn!$C$43:$C$129,0)),""))</f>
        <v/>
      </c>
      <c r="F193" s="15">
        <f>IF($A193="",0,IFERROR(INDEX(Baarn!$I$43:$I$129,MATCH($A193,Baarn!$C$43:$C$129,0)),0))</f>
        <v>0</v>
      </c>
      <c r="G193" s="24" t="str">
        <f>IF($A193="","",IFERROR(INDEX(Scherpenzeel!$A$210:$A$309,MATCH($A193,Scherpenzeel!$C$210:$C$309,0)),""))</f>
        <v/>
      </c>
      <c r="H193" s="15">
        <f>IF($A193="",0,IFERROR(INDEX(Scherpenzeel!$I$210:$I$309,MATCH($A193,Scherpenzeel!$C$210:$C$309,0)),0))</f>
        <v>0</v>
      </c>
      <c r="I193" s="24" t="str">
        <f>IF($A193="","",IFERROR(INDEX('4'!$A$210:$A$309,MATCH($A193,'4'!$C$210:$C$309,0)),""))</f>
        <v/>
      </c>
      <c r="J193" s="15">
        <f>IF($A193="",0,IFERROR(INDEX('4'!$I$210:$I$309,MATCH($A193,'4'!$C$210:$C$309,0)),0))</f>
        <v>0</v>
      </c>
      <c r="K193" s="24" t="str">
        <f>IF($A193="","",IFERROR(INDEX('5'!$A$210:$A$309,MATCH($A193,'5'!$C$210:$C$309,0)),""))</f>
        <v/>
      </c>
      <c r="L193" s="15">
        <f>IF($A193="",0,IFERROR(INDEX('5'!$I$210:$I$309,MATCH($A193,'5'!$C$210:$C$309,0)),0))</f>
        <v>0</v>
      </c>
      <c r="M193" s="25" t="str">
        <f>IF($A193="","",D193+F193+H193+J193+L193)</f>
        <v/>
      </c>
      <c r="N193" s="26" t="str">
        <f>IF(OR($A193="",M193="",M193=0),"",RANK(M193,$M$4:$M$203,0))</f>
        <v/>
      </c>
      <c r="AA193">
        <f>'4'!C215</f>
        <v>0</v>
      </c>
      <c r="AB193">
        <f>IF(AA193="",0,IF(COUNTIF($AA$1:AA193,AA193)=1,1,0))</f>
        <v>0</v>
      </c>
      <c r="AC193" t="str">
        <f>IF(AB193=1,COUNTIF($AB$1:AB193,1),"")</f>
        <v/>
      </c>
    </row>
    <row r="194" spans="1:29" x14ac:dyDescent="0.25">
      <c r="A194" s="13" t="str">
        <f>IFERROR(INDEX($AA$1:$AA$387,MATCH(191,$AC$1:$AC$387,0)),"")</f>
        <v/>
      </c>
      <c r="B194" s="13" t="str">
        <f>IF($A194="","",IF(IFERROR(INDEX(Baarn!$F$43:$F$129,MATCH($A194,Baarn!$C$43:$C$129,0)),"")&lt;&gt;"",IFERROR(INDEX(Baarn!$F$43:$F$129,MATCH($A194,Baarn!$C$43:$C$129,0)),""),IF(IFERROR(INDEX(Scherpenzeel!$F$210:$F$309,MATCH($A194,Scherpenzeel!$C$210:$C$309,0)),"")&lt;&gt;"",IFERROR(INDEX(Scherpenzeel!$F$210:$F$309,MATCH($A194,Scherpenzeel!$C$210:$C$309,0)),""),IF(IFERROR(INDEX('4'!$F$210:$F$309,MATCH($A194,'4'!$C$210:$C$309,0)),"")&lt;&gt;"",IFERROR(INDEX('4'!$F$210:$F$309,MATCH($A194,'4'!$C$210:$C$309,0)),""),IFERROR(INDEX('5'!$F$210:$F$309,MATCH($A194,'5'!$C$210:$C$309,0)),"")))))</f>
        <v/>
      </c>
      <c r="C194" s="24" t="str">
        <f>""</f>
        <v/>
      </c>
      <c r="D194" s="15">
        <f>0</f>
        <v>0</v>
      </c>
      <c r="E194" s="24" t="str">
        <f>IF($A194="","",IFERROR(INDEX(Baarn!$A$43:$A$129,MATCH($A194,Baarn!$C$43:$C$129,0)),""))</f>
        <v/>
      </c>
      <c r="F194" s="15">
        <f>IF($A194="",0,IFERROR(INDEX(Baarn!$I$43:$I$129,MATCH($A194,Baarn!$C$43:$C$129,0)),0))</f>
        <v>0</v>
      </c>
      <c r="G194" s="24" t="str">
        <f>IF($A194="","",IFERROR(INDEX(Scherpenzeel!$A$210:$A$309,MATCH($A194,Scherpenzeel!$C$210:$C$309,0)),""))</f>
        <v/>
      </c>
      <c r="H194" s="15">
        <f>IF($A194="",0,IFERROR(INDEX(Scherpenzeel!$I$210:$I$309,MATCH($A194,Scherpenzeel!$C$210:$C$309,0)),0))</f>
        <v>0</v>
      </c>
      <c r="I194" s="24" t="str">
        <f>IF($A194="","",IFERROR(INDEX('4'!$A$210:$A$309,MATCH($A194,'4'!$C$210:$C$309,0)),""))</f>
        <v/>
      </c>
      <c r="J194" s="15">
        <f>IF($A194="",0,IFERROR(INDEX('4'!$I$210:$I$309,MATCH($A194,'4'!$C$210:$C$309,0)),0))</f>
        <v>0</v>
      </c>
      <c r="K194" s="24" t="str">
        <f>IF($A194="","",IFERROR(INDEX('5'!$A$210:$A$309,MATCH($A194,'5'!$C$210:$C$309,0)),""))</f>
        <v/>
      </c>
      <c r="L194" s="15">
        <f>IF($A194="",0,IFERROR(INDEX('5'!$I$210:$I$309,MATCH($A194,'5'!$C$210:$C$309,0)),0))</f>
        <v>0</v>
      </c>
      <c r="M194" s="25" t="str">
        <f>IF($A194="","",D194+F194+H194+J194+L194)</f>
        <v/>
      </c>
      <c r="N194" s="26" t="str">
        <f>IF(OR($A194="",M194="",M194=0),"",RANK(M194,$M$4:$M$203,0))</f>
        <v/>
      </c>
      <c r="AA194">
        <f>'4'!C216</f>
        <v>0</v>
      </c>
      <c r="AB194">
        <f>IF(AA194="",0,IF(COUNTIF($AA$1:AA194,AA194)=1,1,0))</f>
        <v>0</v>
      </c>
      <c r="AC194" t="str">
        <f>IF(AB194=1,COUNTIF($AB$1:AB194,1),"")</f>
        <v/>
      </c>
    </row>
    <row r="195" spans="1:29" x14ac:dyDescent="0.25">
      <c r="A195" s="13" t="str">
        <f>IFERROR(INDEX($AA$1:$AA$387,MATCH(192,$AC$1:$AC$387,0)),"")</f>
        <v/>
      </c>
      <c r="B195" s="13" t="str">
        <f>IF($A195="","",IF(IFERROR(INDEX(Baarn!$F$43:$F$129,MATCH($A195,Baarn!$C$43:$C$129,0)),"")&lt;&gt;"",IFERROR(INDEX(Baarn!$F$43:$F$129,MATCH($A195,Baarn!$C$43:$C$129,0)),""),IF(IFERROR(INDEX(Scherpenzeel!$F$210:$F$309,MATCH($A195,Scherpenzeel!$C$210:$C$309,0)),"")&lt;&gt;"",IFERROR(INDEX(Scherpenzeel!$F$210:$F$309,MATCH($A195,Scherpenzeel!$C$210:$C$309,0)),""),IF(IFERROR(INDEX('4'!$F$210:$F$309,MATCH($A195,'4'!$C$210:$C$309,0)),"")&lt;&gt;"",IFERROR(INDEX('4'!$F$210:$F$309,MATCH($A195,'4'!$C$210:$C$309,0)),""),IFERROR(INDEX('5'!$F$210:$F$309,MATCH($A195,'5'!$C$210:$C$309,0)),"")))))</f>
        <v/>
      </c>
      <c r="C195" s="24" t="str">
        <f>""</f>
        <v/>
      </c>
      <c r="D195" s="15">
        <f>0</f>
        <v>0</v>
      </c>
      <c r="E195" s="24" t="str">
        <f>IF($A195="","",IFERROR(INDEX(Baarn!$A$43:$A$129,MATCH($A195,Baarn!$C$43:$C$129,0)),""))</f>
        <v/>
      </c>
      <c r="F195" s="15">
        <f>IF($A195="",0,IFERROR(INDEX(Baarn!$I$43:$I$129,MATCH($A195,Baarn!$C$43:$C$129,0)),0))</f>
        <v>0</v>
      </c>
      <c r="G195" s="24" t="str">
        <f>IF($A195="","",IFERROR(INDEX(Scherpenzeel!$A$210:$A$309,MATCH($A195,Scherpenzeel!$C$210:$C$309,0)),""))</f>
        <v/>
      </c>
      <c r="H195" s="15">
        <f>IF($A195="",0,IFERROR(INDEX(Scherpenzeel!$I$210:$I$309,MATCH($A195,Scherpenzeel!$C$210:$C$309,0)),0))</f>
        <v>0</v>
      </c>
      <c r="I195" s="24" t="str">
        <f>IF($A195="","",IFERROR(INDEX('4'!$A$210:$A$309,MATCH($A195,'4'!$C$210:$C$309,0)),""))</f>
        <v/>
      </c>
      <c r="J195" s="15">
        <f>IF($A195="",0,IFERROR(INDEX('4'!$I$210:$I$309,MATCH($A195,'4'!$C$210:$C$309,0)),0))</f>
        <v>0</v>
      </c>
      <c r="K195" s="24" t="str">
        <f>IF($A195="","",IFERROR(INDEX('5'!$A$210:$A$309,MATCH($A195,'5'!$C$210:$C$309,0)),""))</f>
        <v/>
      </c>
      <c r="L195" s="15">
        <f>IF($A195="",0,IFERROR(INDEX('5'!$I$210:$I$309,MATCH($A195,'5'!$C$210:$C$309,0)),0))</f>
        <v>0</v>
      </c>
      <c r="M195" s="25" t="str">
        <f>IF($A195="","",D195+F195+H195+J195+L195)</f>
        <v/>
      </c>
      <c r="N195" s="26" t="str">
        <f>IF(OR($A195="",M195="",M195=0),"",RANK(M195,$M$4:$M$203,0))</f>
        <v/>
      </c>
      <c r="AA195">
        <f>'4'!C217</f>
        <v>0</v>
      </c>
      <c r="AB195">
        <f>IF(AA195="",0,IF(COUNTIF($AA$1:AA195,AA195)=1,1,0))</f>
        <v>0</v>
      </c>
      <c r="AC195" t="str">
        <f>IF(AB195=1,COUNTIF($AB$1:AB195,1),"")</f>
        <v/>
      </c>
    </row>
    <row r="196" spans="1:29" x14ac:dyDescent="0.25">
      <c r="A196" s="13" t="str">
        <f>IFERROR(INDEX($AA$1:$AA$387,MATCH(193,$AC$1:$AC$387,0)),"")</f>
        <v/>
      </c>
      <c r="B196" s="13" t="str">
        <f>IF($A196="","",IF(IFERROR(INDEX(Baarn!$F$43:$F$129,MATCH($A196,Baarn!$C$43:$C$129,0)),"")&lt;&gt;"",IFERROR(INDEX(Baarn!$F$43:$F$129,MATCH($A196,Baarn!$C$43:$C$129,0)),""),IF(IFERROR(INDEX(Scherpenzeel!$F$210:$F$309,MATCH($A196,Scherpenzeel!$C$210:$C$309,0)),"")&lt;&gt;"",IFERROR(INDEX(Scherpenzeel!$F$210:$F$309,MATCH($A196,Scherpenzeel!$C$210:$C$309,0)),""),IF(IFERROR(INDEX('4'!$F$210:$F$309,MATCH($A196,'4'!$C$210:$C$309,0)),"")&lt;&gt;"",IFERROR(INDEX('4'!$F$210:$F$309,MATCH($A196,'4'!$C$210:$C$309,0)),""),IFERROR(INDEX('5'!$F$210:$F$309,MATCH($A196,'5'!$C$210:$C$309,0)),"")))))</f>
        <v/>
      </c>
      <c r="C196" s="24" t="str">
        <f>""</f>
        <v/>
      </c>
      <c r="D196" s="15">
        <f>0</f>
        <v>0</v>
      </c>
      <c r="E196" s="24" t="str">
        <f>IF($A196="","",IFERROR(INDEX(Baarn!$A$43:$A$129,MATCH($A196,Baarn!$C$43:$C$129,0)),""))</f>
        <v/>
      </c>
      <c r="F196" s="15">
        <f>IF($A196="",0,IFERROR(INDEX(Baarn!$I$43:$I$129,MATCH($A196,Baarn!$C$43:$C$129,0)),0))</f>
        <v>0</v>
      </c>
      <c r="G196" s="24" t="str">
        <f>IF($A196="","",IFERROR(INDEX(Scherpenzeel!$A$210:$A$309,MATCH($A196,Scherpenzeel!$C$210:$C$309,0)),""))</f>
        <v/>
      </c>
      <c r="H196" s="15">
        <f>IF($A196="",0,IFERROR(INDEX(Scherpenzeel!$I$210:$I$309,MATCH($A196,Scherpenzeel!$C$210:$C$309,0)),0))</f>
        <v>0</v>
      </c>
      <c r="I196" s="24" t="str">
        <f>IF($A196="","",IFERROR(INDEX('4'!$A$210:$A$309,MATCH($A196,'4'!$C$210:$C$309,0)),""))</f>
        <v/>
      </c>
      <c r="J196" s="15">
        <f>IF($A196="",0,IFERROR(INDEX('4'!$I$210:$I$309,MATCH($A196,'4'!$C$210:$C$309,0)),0))</f>
        <v>0</v>
      </c>
      <c r="K196" s="24" t="str">
        <f>IF($A196="","",IFERROR(INDEX('5'!$A$210:$A$309,MATCH($A196,'5'!$C$210:$C$309,0)),""))</f>
        <v/>
      </c>
      <c r="L196" s="15">
        <f>IF($A196="",0,IFERROR(INDEX('5'!$I$210:$I$309,MATCH($A196,'5'!$C$210:$C$309,0)),0))</f>
        <v>0</v>
      </c>
      <c r="M196" s="25" t="str">
        <f>IF($A196="","",D196+F196+H196+J196+L196)</f>
        <v/>
      </c>
      <c r="N196" s="26" t="str">
        <f>IF(OR($A196="",M196="",M196=0),"",RANK(M196,$M$4:$M$203,0))</f>
        <v/>
      </c>
      <c r="AA196">
        <f>'4'!C218</f>
        <v>0</v>
      </c>
      <c r="AB196">
        <f>IF(AA196="",0,IF(COUNTIF($AA$1:AA196,AA196)=1,1,0))</f>
        <v>0</v>
      </c>
      <c r="AC196" t="str">
        <f>IF(AB196=1,COUNTIF($AB$1:AB196,1),"")</f>
        <v/>
      </c>
    </row>
    <row r="197" spans="1:29" x14ac:dyDescent="0.25">
      <c r="A197" s="13" t="str">
        <f>IFERROR(INDEX($AA$1:$AA$387,MATCH(194,$AC$1:$AC$387,0)),"")</f>
        <v/>
      </c>
      <c r="B197" s="13" t="str">
        <f>IF($A197="","",IF(IFERROR(INDEX(Baarn!$F$43:$F$129,MATCH($A197,Baarn!$C$43:$C$129,0)),"")&lt;&gt;"",IFERROR(INDEX(Baarn!$F$43:$F$129,MATCH($A197,Baarn!$C$43:$C$129,0)),""),IF(IFERROR(INDEX(Scherpenzeel!$F$210:$F$309,MATCH($A197,Scherpenzeel!$C$210:$C$309,0)),"")&lt;&gt;"",IFERROR(INDEX(Scherpenzeel!$F$210:$F$309,MATCH($A197,Scherpenzeel!$C$210:$C$309,0)),""),IF(IFERROR(INDEX('4'!$F$210:$F$309,MATCH($A197,'4'!$C$210:$C$309,0)),"")&lt;&gt;"",IFERROR(INDEX('4'!$F$210:$F$309,MATCH($A197,'4'!$C$210:$C$309,0)),""),IFERROR(INDEX('5'!$F$210:$F$309,MATCH($A197,'5'!$C$210:$C$309,0)),"")))))</f>
        <v/>
      </c>
      <c r="C197" s="24" t="str">
        <f>""</f>
        <v/>
      </c>
      <c r="D197" s="15">
        <f>0</f>
        <v>0</v>
      </c>
      <c r="E197" s="24" t="str">
        <f>IF($A197="","",IFERROR(INDEX(Baarn!$A$43:$A$129,MATCH($A197,Baarn!$C$43:$C$129,0)),""))</f>
        <v/>
      </c>
      <c r="F197" s="15">
        <f>IF($A197="",0,IFERROR(INDEX(Baarn!$I$43:$I$129,MATCH($A197,Baarn!$C$43:$C$129,0)),0))</f>
        <v>0</v>
      </c>
      <c r="G197" s="24" t="str">
        <f>IF($A197="","",IFERROR(INDEX(Scherpenzeel!$A$210:$A$309,MATCH($A197,Scherpenzeel!$C$210:$C$309,0)),""))</f>
        <v/>
      </c>
      <c r="H197" s="15">
        <f>IF($A197="",0,IFERROR(INDEX(Scherpenzeel!$I$210:$I$309,MATCH($A197,Scherpenzeel!$C$210:$C$309,0)),0))</f>
        <v>0</v>
      </c>
      <c r="I197" s="24" t="str">
        <f>IF($A197="","",IFERROR(INDEX('4'!$A$210:$A$309,MATCH($A197,'4'!$C$210:$C$309,0)),""))</f>
        <v/>
      </c>
      <c r="J197" s="15">
        <f>IF($A197="",0,IFERROR(INDEX('4'!$I$210:$I$309,MATCH($A197,'4'!$C$210:$C$309,0)),0))</f>
        <v>0</v>
      </c>
      <c r="K197" s="24" t="str">
        <f>IF($A197="","",IFERROR(INDEX('5'!$A$210:$A$309,MATCH($A197,'5'!$C$210:$C$309,0)),""))</f>
        <v/>
      </c>
      <c r="L197" s="15">
        <f>IF($A197="",0,IFERROR(INDEX('5'!$I$210:$I$309,MATCH($A197,'5'!$C$210:$C$309,0)),0))</f>
        <v>0</v>
      </c>
      <c r="M197" s="25" t="str">
        <f>IF($A197="","",D197+F197+H197+J197+L197)</f>
        <v/>
      </c>
      <c r="N197" s="26" t="str">
        <f>IF(OR($A197="",M197="",M197=0),"",RANK(M197,$M$4:$M$203,0))</f>
        <v/>
      </c>
      <c r="AA197">
        <f>'4'!C219</f>
        <v>0</v>
      </c>
      <c r="AB197">
        <f>IF(AA197="",0,IF(COUNTIF($AA$1:AA197,AA197)=1,1,0))</f>
        <v>0</v>
      </c>
      <c r="AC197" t="str">
        <f>IF(AB197=1,COUNTIF($AB$1:AB197,1),"")</f>
        <v/>
      </c>
    </row>
    <row r="198" spans="1:29" x14ac:dyDescent="0.25">
      <c r="A198" s="13" t="str">
        <f>IFERROR(INDEX($AA$1:$AA$387,MATCH(195,$AC$1:$AC$387,0)),"")</f>
        <v/>
      </c>
      <c r="B198" s="13" t="str">
        <f>IF($A198="","",IF(IFERROR(INDEX(Baarn!$F$43:$F$129,MATCH($A198,Baarn!$C$43:$C$129,0)),"")&lt;&gt;"",IFERROR(INDEX(Baarn!$F$43:$F$129,MATCH($A198,Baarn!$C$43:$C$129,0)),""),IF(IFERROR(INDEX(Scherpenzeel!$F$210:$F$309,MATCH($A198,Scherpenzeel!$C$210:$C$309,0)),"")&lt;&gt;"",IFERROR(INDEX(Scherpenzeel!$F$210:$F$309,MATCH($A198,Scherpenzeel!$C$210:$C$309,0)),""),IF(IFERROR(INDEX('4'!$F$210:$F$309,MATCH($A198,'4'!$C$210:$C$309,0)),"")&lt;&gt;"",IFERROR(INDEX('4'!$F$210:$F$309,MATCH($A198,'4'!$C$210:$C$309,0)),""),IFERROR(INDEX('5'!$F$210:$F$309,MATCH($A198,'5'!$C$210:$C$309,0)),"")))))</f>
        <v/>
      </c>
      <c r="C198" s="24" t="str">
        <f>""</f>
        <v/>
      </c>
      <c r="D198" s="15">
        <f>0</f>
        <v>0</v>
      </c>
      <c r="E198" s="24" t="str">
        <f>IF($A198="","",IFERROR(INDEX(Baarn!$A$43:$A$129,MATCH($A198,Baarn!$C$43:$C$129,0)),""))</f>
        <v/>
      </c>
      <c r="F198" s="15">
        <f>IF($A198="",0,IFERROR(INDEX(Baarn!$I$43:$I$129,MATCH($A198,Baarn!$C$43:$C$129,0)),0))</f>
        <v>0</v>
      </c>
      <c r="G198" s="24" t="str">
        <f>IF($A198="","",IFERROR(INDEX(Scherpenzeel!$A$210:$A$309,MATCH($A198,Scherpenzeel!$C$210:$C$309,0)),""))</f>
        <v/>
      </c>
      <c r="H198" s="15">
        <f>IF($A198="",0,IFERROR(INDEX(Scherpenzeel!$I$210:$I$309,MATCH($A198,Scherpenzeel!$C$210:$C$309,0)),0))</f>
        <v>0</v>
      </c>
      <c r="I198" s="24" t="str">
        <f>IF($A198="","",IFERROR(INDEX('4'!$A$210:$A$309,MATCH($A198,'4'!$C$210:$C$309,0)),""))</f>
        <v/>
      </c>
      <c r="J198" s="15">
        <f>IF($A198="",0,IFERROR(INDEX('4'!$I$210:$I$309,MATCH($A198,'4'!$C$210:$C$309,0)),0))</f>
        <v>0</v>
      </c>
      <c r="K198" s="24" t="str">
        <f>IF($A198="","",IFERROR(INDEX('5'!$A$210:$A$309,MATCH($A198,'5'!$C$210:$C$309,0)),""))</f>
        <v/>
      </c>
      <c r="L198" s="15">
        <f>IF($A198="",0,IFERROR(INDEX('5'!$I$210:$I$309,MATCH($A198,'5'!$C$210:$C$309,0)),0))</f>
        <v>0</v>
      </c>
      <c r="M198" s="25" t="str">
        <f>IF($A198="","",D198+F198+H198+J198+L198)</f>
        <v/>
      </c>
      <c r="N198" s="26" t="str">
        <f>IF(OR($A198="",M198="",M198=0),"",RANK(M198,$M$4:$M$203,0))</f>
        <v/>
      </c>
      <c r="AA198">
        <f>'4'!C220</f>
        <v>0</v>
      </c>
      <c r="AB198">
        <f>IF(AA198="",0,IF(COUNTIF($AA$1:AA198,AA198)=1,1,0))</f>
        <v>0</v>
      </c>
      <c r="AC198" t="str">
        <f>IF(AB198=1,COUNTIF($AB$1:AB198,1),"")</f>
        <v/>
      </c>
    </row>
    <row r="199" spans="1:29" x14ac:dyDescent="0.25">
      <c r="A199" s="13" t="str">
        <f>IFERROR(INDEX($AA$1:$AA$387,MATCH(196,$AC$1:$AC$387,0)),"")</f>
        <v/>
      </c>
      <c r="B199" s="13" t="str">
        <f>IF($A199="","",IF(IFERROR(INDEX(Baarn!$F$43:$F$129,MATCH($A199,Baarn!$C$43:$C$129,0)),"")&lt;&gt;"",IFERROR(INDEX(Baarn!$F$43:$F$129,MATCH($A199,Baarn!$C$43:$C$129,0)),""),IF(IFERROR(INDEX(Scherpenzeel!$F$210:$F$309,MATCH($A199,Scherpenzeel!$C$210:$C$309,0)),"")&lt;&gt;"",IFERROR(INDEX(Scherpenzeel!$F$210:$F$309,MATCH($A199,Scherpenzeel!$C$210:$C$309,0)),""),IF(IFERROR(INDEX('4'!$F$210:$F$309,MATCH($A199,'4'!$C$210:$C$309,0)),"")&lt;&gt;"",IFERROR(INDEX('4'!$F$210:$F$309,MATCH($A199,'4'!$C$210:$C$309,0)),""),IFERROR(INDEX('5'!$F$210:$F$309,MATCH($A199,'5'!$C$210:$C$309,0)),"")))))</f>
        <v/>
      </c>
      <c r="C199" s="24" t="str">
        <f>""</f>
        <v/>
      </c>
      <c r="D199" s="15">
        <f>0</f>
        <v>0</v>
      </c>
      <c r="E199" s="24" t="str">
        <f>IF($A199="","",IFERROR(INDEX(Baarn!$A$43:$A$129,MATCH($A199,Baarn!$C$43:$C$129,0)),""))</f>
        <v/>
      </c>
      <c r="F199" s="15">
        <f>IF($A199="",0,IFERROR(INDEX(Baarn!$I$43:$I$129,MATCH($A199,Baarn!$C$43:$C$129,0)),0))</f>
        <v>0</v>
      </c>
      <c r="G199" s="24" t="str">
        <f>IF($A199="","",IFERROR(INDEX(Scherpenzeel!$A$210:$A$309,MATCH($A199,Scherpenzeel!$C$210:$C$309,0)),""))</f>
        <v/>
      </c>
      <c r="H199" s="15">
        <f>IF($A199="",0,IFERROR(INDEX(Scherpenzeel!$I$210:$I$309,MATCH($A199,Scherpenzeel!$C$210:$C$309,0)),0))</f>
        <v>0</v>
      </c>
      <c r="I199" s="24" t="str">
        <f>IF($A199="","",IFERROR(INDEX('4'!$A$210:$A$309,MATCH($A199,'4'!$C$210:$C$309,0)),""))</f>
        <v/>
      </c>
      <c r="J199" s="15">
        <f>IF($A199="",0,IFERROR(INDEX('4'!$I$210:$I$309,MATCH($A199,'4'!$C$210:$C$309,0)),0))</f>
        <v>0</v>
      </c>
      <c r="K199" s="24" t="str">
        <f>IF($A199="","",IFERROR(INDEX('5'!$A$210:$A$309,MATCH($A199,'5'!$C$210:$C$309,0)),""))</f>
        <v/>
      </c>
      <c r="L199" s="15">
        <f>IF($A199="",0,IFERROR(INDEX('5'!$I$210:$I$309,MATCH($A199,'5'!$C$210:$C$309,0)),0))</f>
        <v>0</v>
      </c>
      <c r="M199" s="25" t="str">
        <f>IF($A199="","",D199+F199+H199+J199+L199)</f>
        <v/>
      </c>
      <c r="N199" s="26" t="str">
        <f>IF(OR($A199="",M199="",M199=0),"",RANK(M199,$M$4:$M$203,0))</f>
        <v/>
      </c>
      <c r="AA199">
        <f>'4'!C221</f>
        <v>0</v>
      </c>
      <c r="AB199">
        <f>IF(AA199="",0,IF(COUNTIF($AA$1:AA199,AA199)=1,1,0))</f>
        <v>0</v>
      </c>
      <c r="AC199" t="str">
        <f>IF(AB199=1,COUNTIF($AB$1:AB199,1),"")</f>
        <v/>
      </c>
    </row>
    <row r="200" spans="1:29" x14ac:dyDescent="0.25">
      <c r="A200" s="13" t="str">
        <f>IFERROR(INDEX($AA$1:$AA$387,MATCH(197,$AC$1:$AC$387,0)),"")</f>
        <v/>
      </c>
      <c r="B200" s="13" t="str">
        <f>IF($A200="","",IF(IFERROR(INDEX(Baarn!$F$43:$F$129,MATCH($A200,Baarn!$C$43:$C$129,0)),"")&lt;&gt;"",IFERROR(INDEX(Baarn!$F$43:$F$129,MATCH($A200,Baarn!$C$43:$C$129,0)),""),IF(IFERROR(INDEX(Scherpenzeel!$F$210:$F$309,MATCH($A200,Scherpenzeel!$C$210:$C$309,0)),"")&lt;&gt;"",IFERROR(INDEX(Scherpenzeel!$F$210:$F$309,MATCH($A200,Scherpenzeel!$C$210:$C$309,0)),""),IF(IFERROR(INDEX('4'!$F$210:$F$309,MATCH($A200,'4'!$C$210:$C$309,0)),"")&lt;&gt;"",IFERROR(INDEX('4'!$F$210:$F$309,MATCH($A200,'4'!$C$210:$C$309,0)),""),IFERROR(INDEX('5'!$F$210:$F$309,MATCH($A200,'5'!$C$210:$C$309,0)),"")))))</f>
        <v/>
      </c>
      <c r="C200" s="24" t="str">
        <f>""</f>
        <v/>
      </c>
      <c r="D200" s="15">
        <f>0</f>
        <v>0</v>
      </c>
      <c r="E200" s="24" t="str">
        <f>IF($A200="","",IFERROR(INDEX(Baarn!$A$43:$A$129,MATCH($A200,Baarn!$C$43:$C$129,0)),""))</f>
        <v/>
      </c>
      <c r="F200" s="15">
        <f>IF($A200="",0,IFERROR(INDEX(Baarn!$I$43:$I$129,MATCH($A200,Baarn!$C$43:$C$129,0)),0))</f>
        <v>0</v>
      </c>
      <c r="G200" s="24" t="str">
        <f>IF($A200="","",IFERROR(INDEX(Scherpenzeel!$A$210:$A$309,MATCH($A200,Scherpenzeel!$C$210:$C$309,0)),""))</f>
        <v/>
      </c>
      <c r="H200" s="15">
        <f>IF($A200="",0,IFERROR(INDEX(Scherpenzeel!$I$210:$I$309,MATCH($A200,Scherpenzeel!$C$210:$C$309,0)),0))</f>
        <v>0</v>
      </c>
      <c r="I200" s="24" t="str">
        <f>IF($A200="","",IFERROR(INDEX('4'!$A$210:$A$309,MATCH($A200,'4'!$C$210:$C$309,0)),""))</f>
        <v/>
      </c>
      <c r="J200" s="15">
        <f>IF($A200="",0,IFERROR(INDEX('4'!$I$210:$I$309,MATCH($A200,'4'!$C$210:$C$309,0)),0))</f>
        <v>0</v>
      </c>
      <c r="K200" s="24" t="str">
        <f>IF($A200="","",IFERROR(INDEX('5'!$A$210:$A$309,MATCH($A200,'5'!$C$210:$C$309,0)),""))</f>
        <v/>
      </c>
      <c r="L200" s="15">
        <f>IF($A200="",0,IFERROR(INDEX('5'!$I$210:$I$309,MATCH($A200,'5'!$C$210:$C$309,0)),0))</f>
        <v>0</v>
      </c>
      <c r="M200" s="25" t="str">
        <f>IF($A200="","",D200+F200+H200+J200+L200)</f>
        <v/>
      </c>
      <c r="N200" s="26" t="str">
        <f>IF(OR($A200="",M200="",M200=0),"",RANK(M200,$M$4:$M$203,0))</f>
        <v/>
      </c>
      <c r="AA200">
        <f>'4'!C222</f>
        <v>0</v>
      </c>
      <c r="AB200">
        <f>IF(AA200="",0,IF(COUNTIF($AA$1:AA200,AA200)=1,1,0))</f>
        <v>0</v>
      </c>
      <c r="AC200" t="str">
        <f>IF(AB200=1,COUNTIF($AB$1:AB200,1),"")</f>
        <v/>
      </c>
    </row>
    <row r="201" spans="1:29" x14ac:dyDescent="0.25">
      <c r="A201" s="13" t="str">
        <f>IFERROR(INDEX($AA$1:$AA$387,MATCH(198,$AC$1:$AC$387,0)),"")</f>
        <v/>
      </c>
      <c r="B201" s="13" t="str">
        <f>IF($A201="","",IF(IFERROR(INDEX(Baarn!$F$43:$F$129,MATCH($A201,Baarn!$C$43:$C$129,0)),"")&lt;&gt;"",IFERROR(INDEX(Baarn!$F$43:$F$129,MATCH($A201,Baarn!$C$43:$C$129,0)),""),IF(IFERROR(INDEX(Scherpenzeel!$F$210:$F$309,MATCH($A201,Scherpenzeel!$C$210:$C$309,0)),"")&lt;&gt;"",IFERROR(INDEX(Scherpenzeel!$F$210:$F$309,MATCH($A201,Scherpenzeel!$C$210:$C$309,0)),""),IF(IFERROR(INDEX('4'!$F$210:$F$309,MATCH($A201,'4'!$C$210:$C$309,0)),"")&lt;&gt;"",IFERROR(INDEX('4'!$F$210:$F$309,MATCH($A201,'4'!$C$210:$C$309,0)),""),IFERROR(INDEX('5'!$F$210:$F$309,MATCH($A201,'5'!$C$210:$C$309,0)),"")))))</f>
        <v/>
      </c>
      <c r="C201" s="24" t="str">
        <f>""</f>
        <v/>
      </c>
      <c r="D201" s="15">
        <f>0</f>
        <v>0</v>
      </c>
      <c r="E201" s="24" t="str">
        <f>IF($A201="","",IFERROR(INDEX(Baarn!$A$43:$A$129,MATCH($A201,Baarn!$C$43:$C$129,0)),""))</f>
        <v/>
      </c>
      <c r="F201" s="15">
        <f>IF($A201="",0,IFERROR(INDEX(Baarn!$I$43:$I$129,MATCH($A201,Baarn!$C$43:$C$129,0)),0))</f>
        <v>0</v>
      </c>
      <c r="G201" s="24" t="str">
        <f>IF($A201="","",IFERROR(INDEX(Scherpenzeel!$A$210:$A$309,MATCH($A201,Scherpenzeel!$C$210:$C$309,0)),""))</f>
        <v/>
      </c>
      <c r="H201" s="15">
        <f>IF($A201="",0,IFERROR(INDEX(Scherpenzeel!$I$210:$I$309,MATCH($A201,Scherpenzeel!$C$210:$C$309,0)),0))</f>
        <v>0</v>
      </c>
      <c r="I201" s="24" t="str">
        <f>IF($A201="","",IFERROR(INDEX('4'!$A$210:$A$309,MATCH($A201,'4'!$C$210:$C$309,0)),""))</f>
        <v/>
      </c>
      <c r="J201" s="15">
        <f>IF($A201="",0,IFERROR(INDEX('4'!$I$210:$I$309,MATCH($A201,'4'!$C$210:$C$309,0)),0))</f>
        <v>0</v>
      </c>
      <c r="K201" s="24" t="str">
        <f>IF($A201="","",IFERROR(INDEX('5'!$A$210:$A$309,MATCH($A201,'5'!$C$210:$C$309,0)),""))</f>
        <v/>
      </c>
      <c r="L201" s="15">
        <f>IF($A201="",0,IFERROR(INDEX('5'!$I$210:$I$309,MATCH($A201,'5'!$C$210:$C$309,0)),0))</f>
        <v>0</v>
      </c>
      <c r="M201" s="25" t="str">
        <f>IF($A201="","",D201+F201+H201+J201+L201)</f>
        <v/>
      </c>
      <c r="N201" s="26" t="str">
        <f>IF(OR($A201="",M201="",M201=0),"",RANK(M201,$M$4:$M$203,0))</f>
        <v/>
      </c>
      <c r="AA201">
        <f>'4'!C223</f>
        <v>0</v>
      </c>
      <c r="AB201">
        <f>IF(AA201="",0,IF(COUNTIF($AA$1:AA201,AA201)=1,1,0))</f>
        <v>0</v>
      </c>
      <c r="AC201" t="str">
        <f>IF(AB201=1,COUNTIF($AB$1:AB201,1),"")</f>
        <v/>
      </c>
    </row>
    <row r="202" spans="1:29" x14ac:dyDescent="0.25">
      <c r="A202" s="13" t="str">
        <f>IFERROR(INDEX($AA$1:$AA$387,MATCH(199,$AC$1:$AC$387,0)),"")</f>
        <v/>
      </c>
      <c r="B202" s="13" t="str">
        <f>IF($A202="","",IF(IFERROR(INDEX(Baarn!$F$43:$F$129,MATCH($A202,Baarn!$C$43:$C$129,0)),"")&lt;&gt;"",IFERROR(INDEX(Baarn!$F$43:$F$129,MATCH($A202,Baarn!$C$43:$C$129,0)),""),IF(IFERROR(INDEX(Scherpenzeel!$F$210:$F$309,MATCH($A202,Scherpenzeel!$C$210:$C$309,0)),"")&lt;&gt;"",IFERROR(INDEX(Scherpenzeel!$F$210:$F$309,MATCH($A202,Scherpenzeel!$C$210:$C$309,0)),""),IF(IFERROR(INDEX('4'!$F$210:$F$309,MATCH($A202,'4'!$C$210:$C$309,0)),"")&lt;&gt;"",IFERROR(INDEX('4'!$F$210:$F$309,MATCH($A202,'4'!$C$210:$C$309,0)),""),IFERROR(INDEX('5'!$F$210:$F$309,MATCH($A202,'5'!$C$210:$C$309,0)),"")))))</f>
        <v/>
      </c>
      <c r="C202" s="24" t="str">
        <f>""</f>
        <v/>
      </c>
      <c r="D202" s="15">
        <f>0</f>
        <v>0</v>
      </c>
      <c r="E202" s="24" t="str">
        <f>IF($A202="","",IFERROR(INDEX(Baarn!$A$43:$A$129,MATCH($A202,Baarn!$C$43:$C$129,0)),""))</f>
        <v/>
      </c>
      <c r="F202" s="15">
        <f>IF($A202="",0,IFERROR(INDEX(Baarn!$I$43:$I$129,MATCH($A202,Baarn!$C$43:$C$129,0)),0))</f>
        <v>0</v>
      </c>
      <c r="G202" s="24" t="str">
        <f>IF($A202="","",IFERROR(INDEX(Scherpenzeel!$A$210:$A$309,MATCH($A202,Scherpenzeel!$C$210:$C$309,0)),""))</f>
        <v/>
      </c>
      <c r="H202" s="15">
        <f>IF($A202="",0,IFERROR(INDEX(Scherpenzeel!$I$210:$I$309,MATCH($A202,Scherpenzeel!$C$210:$C$309,0)),0))</f>
        <v>0</v>
      </c>
      <c r="I202" s="24" t="str">
        <f>IF($A202="","",IFERROR(INDEX('4'!$A$210:$A$309,MATCH($A202,'4'!$C$210:$C$309,0)),""))</f>
        <v/>
      </c>
      <c r="J202" s="15">
        <f>IF($A202="",0,IFERROR(INDEX('4'!$I$210:$I$309,MATCH($A202,'4'!$C$210:$C$309,0)),0))</f>
        <v>0</v>
      </c>
      <c r="K202" s="24" t="str">
        <f>IF($A202="","",IFERROR(INDEX('5'!$A$210:$A$309,MATCH($A202,'5'!$C$210:$C$309,0)),""))</f>
        <v/>
      </c>
      <c r="L202" s="15">
        <f>IF($A202="",0,IFERROR(INDEX('5'!$I$210:$I$309,MATCH($A202,'5'!$C$210:$C$309,0)),0))</f>
        <v>0</v>
      </c>
      <c r="M202" s="25" t="str">
        <f>IF($A202="","",D202+F202+H202+J202+L202)</f>
        <v/>
      </c>
      <c r="N202" s="26" t="str">
        <f>IF(OR($A202="",M202="",M202=0),"",RANK(M202,$M$4:$M$203,0))</f>
        <v/>
      </c>
      <c r="AA202">
        <f>'4'!C224</f>
        <v>0</v>
      </c>
      <c r="AB202">
        <f>IF(AA202="",0,IF(COUNTIF($AA$1:AA202,AA202)=1,1,0))</f>
        <v>0</v>
      </c>
      <c r="AC202" t="str">
        <f>IF(AB202=1,COUNTIF($AB$1:AB202,1),"")</f>
        <v/>
      </c>
    </row>
    <row r="203" spans="1:29" x14ac:dyDescent="0.25">
      <c r="A203" s="13" t="str">
        <f>IFERROR(INDEX($AA$1:$AA$387,MATCH(200,$AC$1:$AC$387,0)),"")</f>
        <v/>
      </c>
      <c r="B203" s="13" t="str">
        <f>IF($A203="","",IF(IFERROR(INDEX(Baarn!$F$43:$F$129,MATCH($A203,Baarn!$C$43:$C$129,0)),"")&lt;&gt;"",IFERROR(INDEX(Baarn!$F$43:$F$129,MATCH($A203,Baarn!$C$43:$C$129,0)),""),IF(IFERROR(INDEX(Scherpenzeel!$F$210:$F$309,MATCH($A203,Scherpenzeel!$C$210:$C$309,0)),"")&lt;&gt;"",IFERROR(INDEX(Scherpenzeel!$F$210:$F$309,MATCH($A203,Scherpenzeel!$C$210:$C$309,0)),""),IF(IFERROR(INDEX('4'!$F$210:$F$309,MATCH($A203,'4'!$C$210:$C$309,0)),"")&lt;&gt;"",IFERROR(INDEX('4'!$F$210:$F$309,MATCH($A203,'4'!$C$210:$C$309,0)),""),IFERROR(INDEX('5'!$F$210:$F$309,MATCH($A203,'5'!$C$210:$C$309,0)),"")))))</f>
        <v/>
      </c>
      <c r="C203" s="24" t="str">
        <f>""</f>
        <v/>
      </c>
      <c r="D203" s="15">
        <f>0</f>
        <v>0</v>
      </c>
      <c r="E203" s="24" t="str">
        <f>IF($A203="","",IFERROR(INDEX(Baarn!$A$43:$A$129,MATCH($A203,Baarn!$C$43:$C$129,0)),""))</f>
        <v/>
      </c>
      <c r="F203" s="15">
        <f>IF($A203="",0,IFERROR(INDEX(Baarn!$I$43:$I$129,MATCH($A203,Baarn!$C$43:$C$129,0)),0))</f>
        <v>0</v>
      </c>
      <c r="G203" s="24" t="str">
        <f>IF($A203="","",IFERROR(INDEX(Scherpenzeel!$A$210:$A$309,MATCH($A203,Scherpenzeel!$C$210:$C$309,0)),""))</f>
        <v/>
      </c>
      <c r="H203" s="15">
        <f>IF($A203="",0,IFERROR(INDEX(Scherpenzeel!$I$210:$I$309,MATCH($A203,Scherpenzeel!$C$210:$C$309,0)),0))</f>
        <v>0</v>
      </c>
      <c r="I203" s="24" t="str">
        <f>IF($A203="","",IFERROR(INDEX('4'!$A$210:$A$309,MATCH($A203,'4'!$C$210:$C$309,0)),""))</f>
        <v/>
      </c>
      <c r="J203" s="15">
        <f>IF($A203="",0,IFERROR(INDEX('4'!$I$210:$I$309,MATCH($A203,'4'!$C$210:$C$309,0)),0))</f>
        <v>0</v>
      </c>
      <c r="K203" s="24" t="str">
        <f>IF($A203="","",IFERROR(INDEX('5'!$A$210:$A$309,MATCH($A203,'5'!$C$210:$C$309,0)),""))</f>
        <v/>
      </c>
      <c r="L203" s="15">
        <f>IF($A203="",0,IFERROR(INDEX('5'!$I$210:$I$309,MATCH($A203,'5'!$C$210:$C$309,0)),0))</f>
        <v>0</v>
      </c>
      <c r="M203" s="25" t="str">
        <f>IF($A203="","",D203+F203+H203+J203+L203)</f>
        <v/>
      </c>
      <c r="N203" s="26" t="str">
        <f>IF(OR($A203="",M203="",M203=0),"",RANK(M203,$M$4:$M$203,0))</f>
        <v/>
      </c>
      <c r="AA203">
        <f>'4'!C225</f>
        <v>0</v>
      </c>
      <c r="AB203">
        <f>IF(AA203="",0,IF(COUNTIF($AA$1:AA203,AA203)=1,1,0))</f>
        <v>0</v>
      </c>
      <c r="AC203" t="str">
        <f>IF(AB203=1,COUNTIF($AB$1:AB203,1),"")</f>
        <v/>
      </c>
    </row>
    <row r="204" spans="1:29" x14ac:dyDescent="0.25">
      <c r="AA204">
        <f>'4'!C226</f>
        <v>0</v>
      </c>
      <c r="AB204">
        <f>IF(AA204="",0,IF(COUNTIF($AA$1:AA204,AA204)=1,1,0))</f>
        <v>0</v>
      </c>
      <c r="AC204" t="str">
        <f>IF(AB204=1,COUNTIF($AB$1:AB204,1),"")</f>
        <v/>
      </c>
    </row>
    <row r="205" spans="1:29" x14ac:dyDescent="0.25">
      <c r="AA205">
        <f>'4'!C227</f>
        <v>0</v>
      </c>
      <c r="AB205">
        <f>IF(AA205="",0,IF(COUNTIF($AA$1:AA205,AA205)=1,1,0))</f>
        <v>0</v>
      </c>
      <c r="AC205" t="str">
        <f>IF(AB205=1,COUNTIF($AB$1:AB205,1),"")</f>
        <v/>
      </c>
    </row>
    <row r="206" spans="1:29" x14ac:dyDescent="0.25">
      <c r="AA206">
        <f>'4'!C228</f>
        <v>0</v>
      </c>
      <c r="AB206">
        <f>IF(AA206="",0,IF(COUNTIF($AA$1:AA206,AA206)=1,1,0))</f>
        <v>0</v>
      </c>
      <c r="AC206" t="str">
        <f>IF(AB206=1,COUNTIF($AB$1:AB206,1),"")</f>
        <v/>
      </c>
    </row>
    <row r="207" spans="1:29" x14ac:dyDescent="0.25">
      <c r="AA207">
        <f>'4'!C229</f>
        <v>0</v>
      </c>
      <c r="AB207">
        <f>IF(AA207="",0,IF(COUNTIF($AA$1:AA207,AA207)=1,1,0))</f>
        <v>0</v>
      </c>
      <c r="AC207" t="str">
        <f>IF(AB207=1,COUNTIF($AB$1:AB207,1),"")</f>
        <v/>
      </c>
    </row>
    <row r="208" spans="1:29" x14ac:dyDescent="0.25">
      <c r="AA208">
        <f>'4'!C230</f>
        <v>0</v>
      </c>
      <c r="AB208">
        <f>IF(AA208="",0,IF(COUNTIF($AA$1:AA208,AA208)=1,1,0))</f>
        <v>0</v>
      </c>
      <c r="AC208" t="str">
        <f>IF(AB208=1,COUNTIF($AB$1:AB208,1),"")</f>
        <v/>
      </c>
    </row>
    <row r="209" spans="27:29" x14ac:dyDescent="0.25">
      <c r="AA209">
        <f>'4'!C231</f>
        <v>0</v>
      </c>
      <c r="AB209">
        <f>IF(AA209="",0,IF(COUNTIF($AA$1:AA209,AA209)=1,1,0))</f>
        <v>0</v>
      </c>
      <c r="AC209" t="str">
        <f>IF(AB209=1,COUNTIF($AB$1:AB209,1),"")</f>
        <v/>
      </c>
    </row>
    <row r="210" spans="27:29" x14ac:dyDescent="0.25">
      <c r="AA210">
        <f>'4'!C232</f>
        <v>0</v>
      </c>
      <c r="AB210">
        <f>IF(AA210="",0,IF(COUNTIF($AA$1:AA210,AA210)=1,1,0))</f>
        <v>0</v>
      </c>
      <c r="AC210" t="str">
        <f>IF(AB210=1,COUNTIF($AB$1:AB210,1),"")</f>
        <v/>
      </c>
    </row>
    <row r="211" spans="27:29" x14ac:dyDescent="0.25">
      <c r="AA211">
        <f>'4'!C233</f>
        <v>0</v>
      </c>
      <c r="AB211">
        <f>IF(AA211="",0,IF(COUNTIF($AA$1:AA211,AA211)=1,1,0))</f>
        <v>0</v>
      </c>
      <c r="AC211" t="str">
        <f>IF(AB211=1,COUNTIF($AB$1:AB211,1),"")</f>
        <v/>
      </c>
    </row>
    <row r="212" spans="27:29" x14ac:dyDescent="0.25">
      <c r="AA212">
        <f>'4'!C234</f>
        <v>0</v>
      </c>
      <c r="AB212">
        <f>IF(AA212="",0,IF(COUNTIF($AA$1:AA212,AA212)=1,1,0))</f>
        <v>0</v>
      </c>
      <c r="AC212" t="str">
        <f>IF(AB212=1,COUNTIF($AB$1:AB212,1),"")</f>
        <v/>
      </c>
    </row>
    <row r="213" spans="27:29" x14ac:dyDescent="0.25">
      <c r="AA213">
        <f>'4'!C235</f>
        <v>0</v>
      </c>
      <c r="AB213">
        <f>IF(AA213="",0,IF(COUNTIF($AA$1:AA213,AA213)=1,1,0))</f>
        <v>0</v>
      </c>
      <c r="AC213" t="str">
        <f>IF(AB213=1,COUNTIF($AB$1:AB213,1),"")</f>
        <v/>
      </c>
    </row>
    <row r="214" spans="27:29" x14ac:dyDescent="0.25">
      <c r="AA214">
        <f>'4'!C236</f>
        <v>0</v>
      </c>
      <c r="AB214">
        <f>IF(AA214="",0,IF(COUNTIF($AA$1:AA214,AA214)=1,1,0))</f>
        <v>0</v>
      </c>
      <c r="AC214" t="str">
        <f>IF(AB214=1,COUNTIF($AB$1:AB214,1),"")</f>
        <v/>
      </c>
    </row>
    <row r="215" spans="27:29" x14ac:dyDescent="0.25">
      <c r="AA215">
        <f>'4'!C237</f>
        <v>0</v>
      </c>
      <c r="AB215">
        <f>IF(AA215="",0,IF(COUNTIF($AA$1:AA215,AA215)=1,1,0))</f>
        <v>0</v>
      </c>
      <c r="AC215" t="str">
        <f>IF(AB215=1,COUNTIF($AB$1:AB215,1),"")</f>
        <v/>
      </c>
    </row>
    <row r="216" spans="27:29" x14ac:dyDescent="0.25">
      <c r="AA216">
        <f>'4'!C238</f>
        <v>0</v>
      </c>
      <c r="AB216">
        <f>IF(AA216="",0,IF(COUNTIF($AA$1:AA216,AA216)=1,1,0))</f>
        <v>0</v>
      </c>
      <c r="AC216" t="str">
        <f>IF(AB216=1,COUNTIF($AB$1:AB216,1),"")</f>
        <v/>
      </c>
    </row>
    <row r="217" spans="27:29" x14ac:dyDescent="0.25">
      <c r="AA217">
        <f>'4'!C239</f>
        <v>0</v>
      </c>
      <c r="AB217">
        <f>IF(AA217="",0,IF(COUNTIF($AA$1:AA217,AA217)=1,1,0))</f>
        <v>0</v>
      </c>
      <c r="AC217" t="str">
        <f>IF(AB217=1,COUNTIF($AB$1:AB217,1),"")</f>
        <v/>
      </c>
    </row>
    <row r="218" spans="27:29" x14ac:dyDescent="0.25">
      <c r="AA218">
        <f>'4'!C240</f>
        <v>0</v>
      </c>
      <c r="AB218">
        <f>IF(AA218="",0,IF(COUNTIF($AA$1:AA218,AA218)=1,1,0))</f>
        <v>0</v>
      </c>
      <c r="AC218" t="str">
        <f>IF(AB218=1,COUNTIF($AB$1:AB218,1),"")</f>
        <v/>
      </c>
    </row>
    <row r="219" spans="27:29" x14ac:dyDescent="0.25">
      <c r="AA219">
        <f>'4'!C241</f>
        <v>0</v>
      </c>
      <c r="AB219">
        <f>IF(AA219="",0,IF(COUNTIF($AA$1:AA219,AA219)=1,1,0))</f>
        <v>0</v>
      </c>
      <c r="AC219" t="str">
        <f>IF(AB219=1,COUNTIF($AB$1:AB219,1),"")</f>
        <v/>
      </c>
    </row>
    <row r="220" spans="27:29" x14ac:dyDescent="0.25">
      <c r="AA220">
        <f>'4'!C242</f>
        <v>0</v>
      </c>
      <c r="AB220">
        <f>IF(AA220="",0,IF(COUNTIF($AA$1:AA220,AA220)=1,1,0))</f>
        <v>0</v>
      </c>
      <c r="AC220" t="str">
        <f>IF(AB220=1,COUNTIF($AB$1:AB220,1),"")</f>
        <v/>
      </c>
    </row>
    <row r="221" spans="27:29" x14ac:dyDescent="0.25">
      <c r="AA221">
        <f>'4'!C243</f>
        <v>0</v>
      </c>
      <c r="AB221">
        <f>IF(AA221="",0,IF(COUNTIF($AA$1:AA221,AA221)=1,1,0))</f>
        <v>0</v>
      </c>
      <c r="AC221" t="str">
        <f>IF(AB221=1,COUNTIF($AB$1:AB221,1),"")</f>
        <v/>
      </c>
    </row>
    <row r="222" spans="27:29" x14ac:dyDescent="0.25">
      <c r="AA222">
        <f>'4'!C244</f>
        <v>0</v>
      </c>
      <c r="AB222">
        <f>IF(AA222="",0,IF(COUNTIF($AA$1:AA222,AA222)=1,1,0))</f>
        <v>0</v>
      </c>
      <c r="AC222" t="str">
        <f>IF(AB222=1,COUNTIF($AB$1:AB222,1),"")</f>
        <v/>
      </c>
    </row>
    <row r="223" spans="27:29" x14ac:dyDescent="0.25">
      <c r="AA223">
        <f>'4'!C245</f>
        <v>0</v>
      </c>
      <c r="AB223">
        <f>IF(AA223="",0,IF(COUNTIF($AA$1:AA223,AA223)=1,1,0))</f>
        <v>0</v>
      </c>
      <c r="AC223" t="str">
        <f>IF(AB223=1,COUNTIF($AB$1:AB223,1),"")</f>
        <v/>
      </c>
    </row>
    <row r="224" spans="27:29" x14ac:dyDescent="0.25">
      <c r="AA224">
        <f>'4'!C246</f>
        <v>0</v>
      </c>
      <c r="AB224">
        <f>IF(AA224="",0,IF(COUNTIF($AA$1:AA224,AA224)=1,1,0))</f>
        <v>0</v>
      </c>
      <c r="AC224" t="str">
        <f>IF(AB224=1,COUNTIF($AB$1:AB224,1),"")</f>
        <v/>
      </c>
    </row>
    <row r="225" spans="27:29" x14ac:dyDescent="0.25">
      <c r="AA225">
        <f>'4'!C247</f>
        <v>0</v>
      </c>
      <c r="AB225">
        <f>IF(AA225="",0,IF(COUNTIF($AA$1:AA225,AA225)=1,1,0))</f>
        <v>0</v>
      </c>
      <c r="AC225" t="str">
        <f>IF(AB225=1,COUNTIF($AB$1:AB225,1),"")</f>
        <v/>
      </c>
    </row>
    <row r="226" spans="27:29" x14ac:dyDescent="0.25">
      <c r="AA226">
        <f>'4'!C248</f>
        <v>0</v>
      </c>
      <c r="AB226">
        <f>IF(AA226="",0,IF(COUNTIF($AA$1:AA226,AA226)=1,1,0))</f>
        <v>0</v>
      </c>
      <c r="AC226" t="str">
        <f>IF(AB226=1,COUNTIF($AB$1:AB226,1),"")</f>
        <v/>
      </c>
    </row>
    <row r="227" spans="27:29" x14ac:dyDescent="0.25">
      <c r="AA227">
        <f>'4'!C249</f>
        <v>0</v>
      </c>
      <c r="AB227">
        <f>IF(AA227="",0,IF(COUNTIF($AA$1:AA227,AA227)=1,1,0))</f>
        <v>0</v>
      </c>
      <c r="AC227" t="str">
        <f>IF(AB227=1,COUNTIF($AB$1:AB227,1),"")</f>
        <v/>
      </c>
    </row>
    <row r="228" spans="27:29" x14ac:dyDescent="0.25">
      <c r="AA228">
        <f>'4'!C250</f>
        <v>0</v>
      </c>
      <c r="AB228">
        <f>IF(AA228="",0,IF(COUNTIF($AA$1:AA228,AA228)=1,1,0))</f>
        <v>0</v>
      </c>
      <c r="AC228" t="str">
        <f>IF(AB228=1,COUNTIF($AB$1:AB228,1),"")</f>
        <v/>
      </c>
    </row>
    <row r="229" spans="27:29" x14ac:dyDescent="0.25">
      <c r="AA229">
        <f>'4'!C251</f>
        <v>0</v>
      </c>
      <c r="AB229">
        <f>IF(AA229="",0,IF(COUNTIF($AA$1:AA229,AA229)=1,1,0))</f>
        <v>0</v>
      </c>
      <c r="AC229" t="str">
        <f>IF(AB229=1,COUNTIF($AB$1:AB229,1),"")</f>
        <v/>
      </c>
    </row>
    <row r="230" spans="27:29" x14ac:dyDescent="0.25">
      <c r="AA230">
        <f>'4'!C252</f>
        <v>0</v>
      </c>
      <c r="AB230">
        <f>IF(AA230="",0,IF(COUNTIF($AA$1:AA230,AA230)=1,1,0))</f>
        <v>0</v>
      </c>
      <c r="AC230" t="str">
        <f>IF(AB230=1,COUNTIF($AB$1:AB230,1),"")</f>
        <v/>
      </c>
    </row>
    <row r="231" spans="27:29" x14ac:dyDescent="0.25">
      <c r="AA231">
        <f>'4'!C253</f>
        <v>0</v>
      </c>
      <c r="AB231">
        <f>IF(AA231="",0,IF(COUNTIF($AA$1:AA231,AA231)=1,1,0))</f>
        <v>0</v>
      </c>
      <c r="AC231" t="str">
        <f>IF(AB231=1,COUNTIF($AB$1:AB231,1),"")</f>
        <v/>
      </c>
    </row>
    <row r="232" spans="27:29" x14ac:dyDescent="0.25">
      <c r="AA232">
        <f>'4'!C254</f>
        <v>0</v>
      </c>
      <c r="AB232">
        <f>IF(AA232="",0,IF(COUNTIF($AA$1:AA232,AA232)=1,1,0))</f>
        <v>0</v>
      </c>
      <c r="AC232" t="str">
        <f>IF(AB232=1,COUNTIF($AB$1:AB232,1),"")</f>
        <v/>
      </c>
    </row>
    <row r="233" spans="27:29" x14ac:dyDescent="0.25">
      <c r="AA233">
        <f>'4'!C255</f>
        <v>0</v>
      </c>
      <c r="AB233">
        <f>IF(AA233="",0,IF(COUNTIF($AA$1:AA233,AA233)=1,1,0))</f>
        <v>0</v>
      </c>
      <c r="AC233" t="str">
        <f>IF(AB233=1,COUNTIF($AB$1:AB233,1),"")</f>
        <v/>
      </c>
    </row>
    <row r="234" spans="27:29" x14ac:dyDescent="0.25">
      <c r="AA234">
        <f>'4'!C256</f>
        <v>0</v>
      </c>
      <c r="AB234">
        <f>IF(AA234="",0,IF(COUNTIF($AA$1:AA234,AA234)=1,1,0))</f>
        <v>0</v>
      </c>
      <c r="AC234" t="str">
        <f>IF(AB234=1,COUNTIF($AB$1:AB234,1),"")</f>
        <v/>
      </c>
    </row>
    <row r="235" spans="27:29" x14ac:dyDescent="0.25">
      <c r="AA235">
        <f>'4'!C257</f>
        <v>0</v>
      </c>
      <c r="AB235">
        <f>IF(AA235="",0,IF(COUNTIF($AA$1:AA235,AA235)=1,1,0))</f>
        <v>0</v>
      </c>
      <c r="AC235" t="str">
        <f>IF(AB235=1,COUNTIF($AB$1:AB235,1),"")</f>
        <v/>
      </c>
    </row>
    <row r="236" spans="27:29" x14ac:dyDescent="0.25">
      <c r="AA236">
        <f>'4'!C258</f>
        <v>0</v>
      </c>
      <c r="AB236">
        <f>IF(AA236="",0,IF(COUNTIF($AA$1:AA236,AA236)=1,1,0))</f>
        <v>0</v>
      </c>
      <c r="AC236" t="str">
        <f>IF(AB236=1,COUNTIF($AB$1:AB236,1),"")</f>
        <v/>
      </c>
    </row>
    <row r="237" spans="27:29" x14ac:dyDescent="0.25">
      <c r="AA237">
        <f>'4'!C259</f>
        <v>0</v>
      </c>
      <c r="AB237">
        <f>IF(AA237="",0,IF(COUNTIF($AA$1:AA237,AA237)=1,1,0))</f>
        <v>0</v>
      </c>
      <c r="AC237" t="str">
        <f>IF(AB237=1,COUNTIF($AB$1:AB237,1),"")</f>
        <v/>
      </c>
    </row>
    <row r="238" spans="27:29" x14ac:dyDescent="0.25">
      <c r="AA238">
        <f>'4'!C260</f>
        <v>0</v>
      </c>
      <c r="AB238">
        <f>IF(AA238="",0,IF(COUNTIF($AA$1:AA238,AA238)=1,1,0))</f>
        <v>0</v>
      </c>
      <c r="AC238" t="str">
        <f>IF(AB238=1,COUNTIF($AB$1:AB238,1),"")</f>
        <v/>
      </c>
    </row>
    <row r="239" spans="27:29" x14ac:dyDescent="0.25">
      <c r="AA239">
        <f>'4'!C261</f>
        <v>0</v>
      </c>
      <c r="AB239">
        <f>IF(AA239="",0,IF(COUNTIF($AA$1:AA239,AA239)=1,1,0))</f>
        <v>0</v>
      </c>
      <c r="AC239" t="str">
        <f>IF(AB239=1,COUNTIF($AB$1:AB239,1),"")</f>
        <v/>
      </c>
    </row>
    <row r="240" spans="27:29" x14ac:dyDescent="0.25">
      <c r="AA240">
        <f>'4'!C262</f>
        <v>0</v>
      </c>
      <c r="AB240">
        <f>IF(AA240="",0,IF(COUNTIF($AA$1:AA240,AA240)=1,1,0))</f>
        <v>0</v>
      </c>
      <c r="AC240" t="str">
        <f>IF(AB240=1,COUNTIF($AB$1:AB240,1),"")</f>
        <v/>
      </c>
    </row>
    <row r="241" spans="27:29" x14ac:dyDescent="0.25">
      <c r="AA241">
        <f>'4'!C263</f>
        <v>0</v>
      </c>
      <c r="AB241">
        <f>IF(AA241="",0,IF(COUNTIF($AA$1:AA241,AA241)=1,1,0))</f>
        <v>0</v>
      </c>
      <c r="AC241" t="str">
        <f>IF(AB241=1,COUNTIF($AB$1:AB241,1),"")</f>
        <v/>
      </c>
    </row>
    <row r="242" spans="27:29" x14ac:dyDescent="0.25">
      <c r="AA242">
        <f>'4'!C264</f>
        <v>0</v>
      </c>
      <c r="AB242">
        <f>IF(AA242="",0,IF(COUNTIF($AA$1:AA242,AA242)=1,1,0))</f>
        <v>0</v>
      </c>
      <c r="AC242" t="str">
        <f>IF(AB242=1,COUNTIF($AB$1:AB242,1),"")</f>
        <v/>
      </c>
    </row>
    <row r="243" spans="27:29" x14ac:dyDescent="0.25">
      <c r="AA243">
        <f>'4'!C265</f>
        <v>0</v>
      </c>
      <c r="AB243">
        <f>IF(AA243="",0,IF(COUNTIF($AA$1:AA243,AA243)=1,1,0))</f>
        <v>0</v>
      </c>
      <c r="AC243" t="str">
        <f>IF(AB243=1,COUNTIF($AB$1:AB243,1),"")</f>
        <v/>
      </c>
    </row>
    <row r="244" spans="27:29" x14ac:dyDescent="0.25">
      <c r="AA244">
        <f>'4'!C266</f>
        <v>0</v>
      </c>
      <c r="AB244">
        <f>IF(AA244="",0,IF(COUNTIF($AA$1:AA244,AA244)=1,1,0))</f>
        <v>0</v>
      </c>
      <c r="AC244" t="str">
        <f>IF(AB244=1,COUNTIF($AB$1:AB244,1),"")</f>
        <v/>
      </c>
    </row>
    <row r="245" spans="27:29" x14ac:dyDescent="0.25">
      <c r="AA245">
        <f>'4'!C267</f>
        <v>0</v>
      </c>
      <c r="AB245">
        <f>IF(AA245="",0,IF(COUNTIF($AA$1:AA245,AA245)=1,1,0))</f>
        <v>0</v>
      </c>
      <c r="AC245" t="str">
        <f>IF(AB245=1,COUNTIF($AB$1:AB245,1),"")</f>
        <v/>
      </c>
    </row>
    <row r="246" spans="27:29" x14ac:dyDescent="0.25">
      <c r="AA246">
        <f>'4'!C268</f>
        <v>0</v>
      </c>
      <c r="AB246">
        <f>IF(AA246="",0,IF(COUNTIF($AA$1:AA246,AA246)=1,1,0))</f>
        <v>0</v>
      </c>
      <c r="AC246" t="str">
        <f>IF(AB246=1,COUNTIF($AB$1:AB246,1),"")</f>
        <v/>
      </c>
    </row>
    <row r="247" spans="27:29" x14ac:dyDescent="0.25">
      <c r="AA247">
        <f>'4'!C269</f>
        <v>0</v>
      </c>
      <c r="AB247">
        <f>IF(AA247="",0,IF(COUNTIF($AA$1:AA247,AA247)=1,1,0))</f>
        <v>0</v>
      </c>
      <c r="AC247" t="str">
        <f>IF(AB247=1,COUNTIF($AB$1:AB247,1),"")</f>
        <v/>
      </c>
    </row>
    <row r="248" spans="27:29" x14ac:dyDescent="0.25">
      <c r="AA248">
        <f>'4'!C270</f>
        <v>0</v>
      </c>
      <c r="AB248">
        <f>IF(AA248="",0,IF(COUNTIF($AA$1:AA248,AA248)=1,1,0))</f>
        <v>0</v>
      </c>
      <c r="AC248" t="str">
        <f>IF(AB248=1,COUNTIF($AB$1:AB248,1),"")</f>
        <v/>
      </c>
    </row>
    <row r="249" spans="27:29" x14ac:dyDescent="0.25">
      <c r="AA249">
        <f>'4'!C271</f>
        <v>0</v>
      </c>
      <c r="AB249">
        <f>IF(AA249="",0,IF(COUNTIF($AA$1:AA249,AA249)=1,1,0))</f>
        <v>0</v>
      </c>
      <c r="AC249" t="str">
        <f>IF(AB249=1,COUNTIF($AB$1:AB249,1),"")</f>
        <v/>
      </c>
    </row>
    <row r="250" spans="27:29" x14ac:dyDescent="0.25">
      <c r="AA250">
        <f>'4'!C272</f>
        <v>0</v>
      </c>
      <c r="AB250">
        <f>IF(AA250="",0,IF(COUNTIF($AA$1:AA250,AA250)=1,1,0))</f>
        <v>0</v>
      </c>
      <c r="AC250" t="str">
        <f>IF(AB250=1,COUNTIF($AB$1:AB250,1),"")</f>
        <v/>
      </c>
    </row>
    <row r="251" spans="27:29" x14ac:dyDescent="0.25">
      <c r="AA251">
        <f>'4'!C273</f>
        <v>0</v>
      </c>
      <c r="AB251">
        <f>IF(AA251="",0,IF(COUNTIF($AA$1:AA251,AA251)=1,1,0))</f>
        <v>0</v>
      </c>
      <c r="AC251" t="str">
        <f>IF(AB251=1,COUNTIF($AB$1:AB251,1),"")</f>
        <v/>
      </c>
    </row>
    <row r="252" spans="27:29" x14ac:dyDescent="0.25">
      <c r="AA252">
        <f>'4'!C274</f>
        <v>0</v>
      </c>
      <c r="AB252">
        <f>IF(AA252="",0,IF(COUNTIF($AA$1:AA252,AA252)=1,1,0))</f>
        <v>0</v>
      </c>
      <c r="AC252" t="str">
        <f>IF(AB252=1,COUNTIF($AB$1:AB252,1),"")</f>
        <v/>
      </c>
    </row>
    <row r="253" spans="27:29" x14ac:dyDescent="0.25">
      <c r="AA253">
        <f>'4'!C275</f>
        <v>0</v>
      </c>
      <c r="AB253">
        <f>IF(AA253="",0,IF(COUNTIF($AA$1:AA253,AA253)=1,1,0))</f>
        <v>0</v>
      </c>
      <c r="AC253" t="str">
        <f>IF(AB253=1,COUNTIF($AB$1:AB253,1),"")</f>
        <v/>
      </c>
    </row>
    <row r="254" spans="27:29" x14ac:dyDescent="0.25">
      <c r="AA254">
        <f>'4'!C276</f>
        <v>0</v>
      </c>
      <c r="AB254">
        <f>IF(AA254="",0,IF(COUNTIF($AA$1:AA254,AA254)=1,1,0))</f>
        <v>0</v>
      </c>
      <c r="AC254" t="str">
        <f>IF(AB254=1,COUNTIF($AB$1:AB254,1),"")</f>
        <v/>
      </c>
    </row>
    <row r="255" spans="27:29" x14ac:dyDescent="0.25">
      <c r="AA255">
        <f>'4'!C277</f>
        <v>0</v>
      </c>
      <c r="AB255">
        <f>IF(AA255="",0,IF(COUNTIF($AA$1:AA255,AA255)=1,1,0))</f>
        <v>0</v>
      </c>
      <c r="AC255" t="str">
        <f>IF(AB255=1,COUNTIF($AB$1:AB255,1),"")</f>
        <v/>
      </c>
    </row>
    <row r="256" spans="27:29" x14ac:dyDescent="0.25">
      <c r="AA256">
        <f>'4'!C278</f>
        <v>0</v>
      </c>
      <c r="AB256">
        <f>IF(AA256="",0,IF(COUNTIF($AA$1:AA256,AA256)=1,1,0))</f>
        <v>0</v>
      </c>
      <c r="AC256" t="str">
        <f>IF(AB256=1,COUNTIF($AB$1:AB256,1),"")</f>
        <v/>
      </c>
    </row>
    <row r="257" spans="27:29" x14ac:dyDescent="0.25">
      <c r="AA257">
        <f>'4'!C279</f>
        <v>0</v>
      </c>
      <c r="AB257">
        <f>IF(AA257="",0,IF(COUNTIF($AA$1:AA257,AA257)=1,1,0))</f>
        <v>0</v>
      </c>
      <c r="AC257" t="str">
        <f>IF(AB257=1,COUNTIF($AB$1:AB257,1),"")</f>
        <v/>
      </c>
    </row>
    <row r="258" spans="27:29" x14ac:dyDescent="0.25">
      <c r="AA258">
        <f>'4'!C280</f>
        <v>0</v>
      </c>
      <c r="AB258">
        <f>IF(AA258="",0,IF(COUNTIF($AA$1:AA258,AA258)=1,1,0))</f>
        <v>0</v>
      </c>
      <c r="AC258" t="str">
        <f>IF(AB258=1,COUNTIF($AB$1:AB258,1),"")</f>
        <v/>
      </c>
    </row>
    <row r="259" spans="27:29" x14ac:dyDescent="0.25">
      <c r="AA259">
        <f>'4'!C281</f>
        <v>0</v>
      </c>
      <c r="AB259">
        <f>IF(AA259="",0,IF(COUNTIF($AA$1:AA259,AA259)=1,1,0))</f>
        <v>0</v>
      </c>
      <c r="AC259" t="str">
        <f>IF(AB259=1,COUNTIF($AB$1:AB259,1),"")</f>
        <v/>
      </c>
    </row>
    <row r="260" spans="27:29" x14ac:dyDescent="0.25">
      <c r="AA260">
        <f>'4'!C282</f>
        <v>0</v>
      </c>
      <c r="AB260">
        <f>IF(AA260="",0,IF(COUNTIF($AA$1:AA260,AA260)=1,1,0))</f>
        <v>0</v>
      </c>
      <c r="AC260" t="str">
        <f>IF(AB260=1,COUNTIF($AB$1:AB260,1),"")</f>
        <v/>
      </c>
    </row>
    <row r="261" spans="27:29" x14ac:dyDescent="0.25">
      <c r="AA261">
        <f>'4'!C283</f>
        <v>0</v>
      </c>
      <c r="AB261">
        <f>IF(AA261="",0,IF(COUNTIF($AA$1:AA261,AA261)=1,1,0))</f>
        <v>0</v>
      </c>
      <c r="AC261" t="str">
        <f>IF(AB261=1,COUNTIF($AB$1:AB261,1),"")</f>
        <v/>
      </c>
    </row>
    <row r="262" spans="27:29" x14ac:dyDescent="0.25">
      <c r="AA262">
        <f>'4'!C284</f>
        <v>0</v>
      </c>
      <c r="AB262">
        <f>IF(AA262="",0,IF(COUNTIF($AA$1:AA262,AA262)=1,1,0))</f>
        <v>0</v>
      </c>
      <c r="AC262" t="str">
        <f>IF(AB262=1,COUNTIF($AB$1:AB262,1),"")</f>
        <v/>
      </c>
    </row>
    <row r="263" spans="27:29" x14ac:dyDescent="0.25">
      <c r="AA263">
        <f>'4'!C285</f>
        <v>0</v>
      </c>
      <c r="AB263">
        <f>IF(AA263="",0,IF(COUNTIF($AA$1:AA263,AA263)=1,1,0))</f>
        <v>0</v>
      </c>
      <c r="AC263" t="str">
        <f>IF(AB263=1,COUNTIF($AB$1:AB263,1),"")</f>
        <v/>
      </c>
    </row>
    <row r="264" spans="27:29" x14ac:dyDescent="0.25">
      <c r="AA264">
        <f>'4'!C286</f>
        <v>0</v>
      </c>
      <c r="AB264">
        <f>IF(AA264="",0,IF(COUNTIF($AA$1:AA264,AA264)=1,1,0))</f>
        <v>0</v>
      </c>
      <c r="AC264" t="str">
        <f>IF(AB264=1,COUNTIF($AB$1:AB264,1),"")</f>
        <v/>
      </c>
    </row>
    <row r="265" spans="27:29" x14ac:dyDescent="0.25">
      <c r="AA265">
        <f>'4'!C287</f>
        <v>0</v>
      </c>
      <c r="AB265">
        <f>IF(AA265="",0,IF(COUNTIF($AA$1:AA265,AA265)=1,1,0))</f>
        <v>0</v>
      </c>
      <c r="AC265" t="str">
        <f>IF(AB265=1,COUNTIF($AB$1:AB265,1),"")</f>
        <v/>
      </c>
    </row>
    <row r="266" spans="27:29" x14ac:dyDescent="0.25">
      <c r="AA266">
        <f>'4'!C288</f>
        <v>0</v>
      </c>
      <c r="AB266">
        <f>IF(AA266="",0,IF(COUNTIF($AA$1:AA266,AA266)=1,1,0))</f>
        <v>0</v>
      </c>
      <c r="AC266" t="str">
        <f>IF(AB266=1,COUNTIF($AB$1:AB266,1),"")</f>
        <v/>
      </c>
    </row>
    <row r="267" spans="27:29" x14ac:dyDescent="0.25">
      <c r="AA267">
        <f>'4'!C289</f>
        <v>0</v>
      </c>
      <c r="AB267">
        <f>IF(AA267="",0,IF(COUNTIF($AA$1:AA267,AA267)=1,1,0))</f>
        <v>0</v>
      </c>
      <c r="AC267" t="str">
        <f>IF(AB267=1,COUNTIF($AB$1:AB267,1),"")</f>
        <v/>
      </c>
    </row>
    <row r="268" spans="27:29" x14ac:dyDescent="0.25">
      <c r="AA268">
        <f>'4'!C290</f>
        <v>0</v>
      </c>
      <c r="AB268">
        <f>IF(AA268="",0,IF(COUNTIF($AA$1:AA268,AA268)=1,1,0))</f>
        <v>0</v>
      </c>
      <c r="AC268" t="str">
        <f>IF(AB268=1,COUNTIF($AB$1:AB268,1),"")</f>
        <v/>
      </c>
    </row>
    <row r="269" spans="27:29" x14ac:dyDescent="0.25">
      <c r="AA269">
        <f>'4'!C291</f>
        <v>0</v>
      </c>
      <c r="AB269">
        <f>IF(AA269="",0,IF(COUNTIF($AA$1:AA269,AA269)=1,1,0))</f>
        <v>0</v>
      </c>
      <c r="AC269" t="str">
        <f>IF(AB269=1,COUNTIF($AB$1:AB269,1),"")</f>
        <v/>
      </c>
    </row>
    <row r="270" spans="27:29" x14ac:dyDescent="0.25">
      <c r="AA270">
        <f>'4'!C292</f>
        <v>0</v>
      </c>
      <c r="AB270">
        <f>IF(AA270="",0,IF(COUNTIF($AA$1:AA270,AA270)=1,1,0))</f>
        <v>0</v>
      </c>
      <c r="AC270" t="str">
        <f>IF(AB270=1,COUNTIF($AB$1:AB270,1),"")</f>
        <v/>
      </c>
    </row>
    <row r="271" spans="27:29" x14ac:dyDescent="0.25">
      <c r="AA271">
        <f>'4'!C293</f>
        <v>0</v>
      </c>
      <c r="AB271">
        <f>IF(AA271="",0,IF(COUNTIF($AA$1:AA271,AA271)=1,1,0))</f>
        <v>0</v>
      </c>
      <c r="AC271" t="str">
        <f>IF(AB271=1,COUNTIF($AB$1:AB271,1),"")</f>
        <v/>
      </c>
    </row>
    <row r="272" spans="27:29" x14ac:dyDescent="0.25">
      <c r="AA272">
        <f>'4'!C294</f>
        <v>0</v>
      </c>
      <c r="AB272">
        <f>IF(AA272="",0,IF(COUNTIF($AA$1:AA272,AA272)=1,1,0))</f>
        <v>0</v>
      </c>
      <c r="AC272" t="str">
        <f>IF(AB272=1,COUNTIF($AB$1:AB272,1),"")</f>
        <v/>
      </c>
    </row>
    <row r="273" spans="27:29" x14ac:dyDescent="0.25">
      <c r="AA273">
        <f>'4'!C295</f>
        <v>0</v>
      </c>
      <c r="AB273">
        <f>IF(AA273="",0,IF(COUNTIF($AA$1:AA273,AA273)=1,1,0))</f>
        <v>0</v>
      </c>
      <c r="AC273" t="str">
        <f>IF(AB273=1,COUNTIF($AB$1:AB273,1),"")</f>
        <v/>
      </c>
    </row>
    <row r="274" spans="27:29" x14ac:dyDescent="0.25">
      <c r="AA274">
        <f>'4'!C296</f>
        <v>0</v>
      </c>
      <c r="AB274">
        <f>IF(AA274="",0,IF(COUNTIF($AA$1:AA274,AA274)=1,1,0))</f>
        <v>0</v>
      </c>
      <c r="AC274" t="str">
        <f>IF(AB274=1,COUNTIF($AB$1:AB274,1),"")</f>
        <v/>
      </c>
    </row>
    <row r="275" spans="27:29" x14ac:dyDescent="0.25">
      <c r="AA275">
        <f>'4'!C297</f>
        <v>0</v>
      </c>
      <c r="AB275">
        <f>IF(AA275="",0,IF(COUNTIF($AA$1:AA275,AA275)=1,1,0))</f>
        <v>0</v>
      </c>
      <c r="AC275" t="str">
        <f>IF(AB275=1,COUNTIF($AB$1:AB275,1),"")</f>
        <v/>
      </c>
    </row>
    <row r="276" spans="27:29" x14ac:dyDescent="0.25">
      <c r="AA276">
        <f>'4'!C298</f>
        <v>0</v>
      </c>
      <c r="AB276">
        <f>IF(AA276="",0,IF(COUNTIF($AA$1:AA276,AA276)=1,1,0))</f>
        <v>0</v>
      </c>
      <c r="AC276" t="str">
        <f>IF(AB276=1,COUNTIF($AB$1:AB276,1),"")</f>
        <v/>
      </c>
    </row>
    <row r="277" spans="27:29" x14ac:dyDescent="0.25">
      <c r="AA277">
        <f>'4'!C299</f>
        <v>0</v>
      </c>
      <c r="AB277">
        <f>IF(AA277="",0,IF(COUNTIF($AA$1:AA277,AA277)=1,1,0))</f>
        <v>0</v>
      </c>
      <c r="AC277" t="str">
        <f>IF(AB277=1,COUNTIF($AB$1:AB277,1),"")</f>
        <v/>
      </c>
    </row>
    <row r="278" spans="27:29" x14ac:dyDescent="0.25">
      <c r="AA278">
        <f>'4'!C300</f>
        <v>0</v>
      </c>
      <c r="AB278">
        <f>IF(AA278="",0,IF(COUNTIF($AA$1:AA278,AA278)=1,1,0))</f>
        <v>0</v>
      </c>
      <c r="AC278" t="str">
        <f>IF(AB278=1,COUNTIF($AB$1:AB278,1),"")</f>
        <v/>
      </c>
    </row>
    <row r="279" spans="27:29" x14ac:dyDescent="0.25">
      <c r="AA279">
        <f>'4'!C301</f>
        <v>0</v>
      </c>
      <c r="AB279">
        <f>IF(AA279="",0,IF(COUNTIF($AA$1:AA279,AA279)=1,1,0))</f>
        <v>0</v>
      </c>
      <c r="AC279" t="str">
        <f>IF(AB279=1,COUNTIF($AB$1:AB279,1),"")</f>
        <v/>
      </c>
    </row>
    <row r="280" spans="27:29" x14ac:dyDescent="0.25">
      <c r="AA280">
        <f>'4'!C302</f>
        <v>0</v>
      </c>
      <c r="AB280">
        <f>IF(AA280="",0,IF(COUNTIF($AA$1:AA280,AA280)=1,1,0))</f>
        <v>0</v>
      </c>
      <c r="AC280" t="str">
        <f>IF(AB280=1,COUNTIF($AB$1:AB280,1),"")</f>
        <v/>
      </c>
    </row>
    <row r="281" spans="27:29" x14ac:dyDescent="0.25">
      <c r="AA281">
        <f>'4'!C303</f>
        <v>0</v>
      </c>
      <c r="AB281">
        <f>IF(AA281="",0,IF(COUNTIF($AA$1:AA281,AA281)=1,1,0))</f>
        <v>0</v>
      </c>
      <c r="AC281" t="str">
        <f>IF(AB281=1,COUNTIF($AB$1:AB281,1),"")</f>
        <v/>
      </c>
    </row>
    <row r="282" spans="27:29" x14ac:dyDescent="0.25">
      <c r="AA282">
        <f>'4'!C304</f>
        <v>0</v>
      </c>
      <c r="AB282">
        <f>IF(AA282="",0,IF(COUNTIF($AA$1:AA282,AA282)=1,1,0))</f>
        <v>0</v>
      </c>
      <c r="AC282" t="str">
        <f>IF(AB282=1,COUNTIF($AB$1:AB282,1),"")</f>
        <v/>
      </c>
    </row>
    <row r="283" spans="27:29" x14ac:dyDescent="0.25">
      <c r="AA283">
        <f>'4'!C305</f>
        <v>0</v>
      </c>
      <c r="AB283">
        <f>IF(AA283="",0,IF(COUNTIF($AA$1:AA283,AA283)=1,1,0))</f>
        <v>0</v>
      </c>
      <c r="AC283" t="str">
        <f>IF(AB283=1,COUNTIF($AB$1:AB283,1),"")</f>
        <v/>
      </c>
    </row>
    <row r="284" spans="27:29" x14ac:dyDescent="0.25">
      <c r="AA284">
        <f>'4'!C306</f>
        <v>0</v>
      </c>
      <c r="AB284">
        <f>IF(AA284="",0,IF(COUNTIF($AA$1:AA284,AA284)=1,1,0))</f>
        <v>0</v>
      </c>
      <c r="AC284" t="str">
        <f>IF(AB284=1,COUNTIF($AB$1:AB284,1),"")</f>
        <v/>
      </c>
    </row>
    <row r="285" spans="27:29" x14ac:dyDescent="0.25">
      <c r="AA285">
        <f>'4'!C307</f>
        <v>0</v>
      </c>
      <c r="AB285">
        <f>IF(AA285="",0,IF(COUNTIF($AA$1:AA285,AA285)=1,1,0))</f>
        <v>0</v>
      </c>
      <c r="AC285" t="str">
        <f>IF(AB285=1,COUNTIF($AB$1:AB285,1),"")</f>
        <v/>
      </c>
    </row>
    <row r="286" spans="27:29" x14ac:dyDescent="0.25">
      <c r="AA286">
        <f>'4'!C308</f>
        <v>0</v>
      </c>
      <c r="AB286">
        <f>IF(AA286="",0,IF(COUNTIF($AA$1:AA286,AA286)=1,1,0))</f>
        <v>0</v>
      </c>
      <c r="AC286" t="str">
        <f>IF(AB286=1,COUNTIF($AB$1:AB286,1),"")</f>
        <v/>
      </c>
    </row>
    <row r="287" spans="27:29" x14ac:dyDescent="0.25">
      <c r="AA287">
        <f>'4'!C309</f>
        <v>0</v>
      </c>
      <c r="AB287">
        <f>IF(AA287="",0,IF(COUNTIF($AA$1:AA287,AA287)=1,1,0))</f>
        <v>0</v>
      </c>
      <c r="AC287" t="str">
        <f>IF(AB287=1,COUNTIF($AB$1:AB287,1),"")</f>
        <v/>
      </c>
    </row>
    <row r="288" spans="27:29" x14ac:dyDescent="0.25">
      <c r="AA288">
        <f>'5'!C210</f>
        <v>0</v>
      </c>
      <c r="AB288">
        <f>IF(AA288="",0,IF(COUNTIF($AA$1:AA288,AA288)=1,1,0))</f>
        <v>0</v>
      </c>
      <c r="AC288" t="str">
        <f>IF(AB288=1,COUNTIF($AB$1:AB288,1),"")</f>
        <v/>
      </c>
    </row>
    <row r="289" spans="27:29" x14ac:dyDescent="0.25">
      <c r="AA289">
        <f>'5'!C211</f>
        <v>0</v>
      </c>
      <c r="AB289">
        <f>IF(AA289="",0,IF(COUNTIF($AA$1:AA289,AA289)=1,1,0))</f>
        <v>0</v>
      </c>
      <c r="AC289" t="str">
        <f>IF(AB289=1,COUNTIF($AB$1:AB289,1),"")</f>
        <v/>
      </c>
    </row>
    <row r="290" spans="27:29" x14ac:dyDescent="0.25">
      <c r="AA290">
        <f>'5'!C212</f>
        <v>0</v>
      </c>
      <c r="AB290">
        <f>IF(AA290="",0,IF(COUNTIF($AA$1:AA290,AA290)=1,1,0))</f>
        <v>0</v>
      </c>
      <c r="AC290" t="str">
        <f>IF(AB290=1,COUNTIF($AB$1:AB290,1),"")</f>
        <v/>
      </c>
    </row>
    <row r="291" spans="27:29" x14ac:dyDescent="0.25">
      <c r="AA291">
        <f>'5'!C213</f>
        <v>0</v>
      </c>
      <c r="AB291">
        <f>IF(AA291="",0,IF(COUNTIF($AA$1:AA291,AA291)=1,1,0))</f>
        <v>0</v>
      </c>
      <c r="AC291" t="str">
        <f>IF(AB291=1,COUNTIF($AB$1:AB291,1),"")</f>
        <v/>
      </c>
    </row>
    <row r="292" spans="27:29" x14ac:dyDescent="0.25">
      <c r="AA292">
        <f>'5'!C214</f>
        <v>0</v>
      </c>
      <c r="AB292">
        <f>IF(AA292="",0,IF(COUNTIF($AA$1:AA292,AA292)=1,1,0))</f>
        <v>0</v>
      </c>
      <c r="AC292" t="str">
        <f>IF(AB292=1,COUNTIF($AB$1:AB292,1),"")</f>
        <v/>
      </c>
    </row>
    <row r="293" spans="27:29" x14ac:dyDescent="0.25">
      <c r="AA293">
        <f>'5'!C215</f>
        <v>0</v>
      </c>
      <c r="AB293">
        <f>IF(AA293="",0,IF(COUNTIF($AA$1:AA293,AA293)=1,1,0))</f>
        <v>0</v>
      </c>
      <c r="AC293" t="str">
        <f>IF(AB293=1,COUNTIF($AB$1:AB293,1),"")</f>
        <v/>
      </c>
    </row>
    <row r="294" spans="27:29" x14ac:dyDescent="0.25">
      <c r="AA294">
        <f>'5'!C216</f>
        <v>0</v>
      </c>
      <c r="AB294">
        <f>IF(AA294="",0,IF(COUNTIF($AA$1:AA294,AA294)=1,1,0))</f>
        <v>0</v>
      </c>
      <c r="AC294" t="str">
        <f>IF(AB294=1,COUNTIF($AB$1:AB294,1),"")</f>
        <v/>
      </c>
    </row>
    <row r="295" spans="27:29" x14ac:dyDescent="0.25">
      <c r="AA295">
        <f>'5'!C217</f>
        <v>0</v>
      </c>
      <c r="AB295">
        <f>IF(AA295="",0,IF(COUNTIF($AA$1:AA295,AA295)=1,1,0))</f>
        <v>0</v>
      </c>
      <c r="AC295" t="str">
        <f>IF(AB295=1,COUNTIF($AB$1:AB295,1),"")</f>
        <v/>
      </c>
    </row>
    <row r="296" spans="27:29" x14ac:dyDescent="0.25">
      <c r="AA296">
        <f>'5'!C218</f>
        <v>0</v>
      </c>
      <c r="AB296">
        <f>IF(AA296="",0,IF(COUNTIF($AA$1:AA296,AA296)=1,1,0))</f>
        <v>0</v>
      </c>
      <c r="AC296" t="str">
        <f>IF(AB296=1,COUNTIF($AB$1:AB296,1),"")</f>
        <v/>
      </c>
    </row>
    <row r="297" spans="27:29" x14ac:dyDescent="0.25">
      <c r="AA297">
        <f>'5'!C219</f>
        <v>0</v>
      </c>
      <c r="AB297">
        <f>IF(AA297="",0,IF(COUNTIF($AA$1:AA297,AA297)=1,1,0))</f>
        <v>0</v>
      </c>
      <c r="AC297" t="str">
        <f>IF(AB297=1,COUNTIF($AB$1:AB297,1),"")</f>
        <v/>
      </c>
    </row>
    <row r="298" spans="27:29" x14ac:dyDescent="0.25">
      <c r="AA298">
        <f>'5'!C220</f>
        <v>0</v>
      </c>
      <c r="AB298">
        <f>IF(AA298="",0,IF(COUNTIF($AA$1:AA298,AA298)=1,1,0))</f>
        <v>0</v>
      </c>
      <c r="AC298" t="str">
        <f>IF(AB298=1,COUNTIF($AB$1:AB298,1),"")</f>
        <v/>
      </c>
    </row>
    <row r="299" spans="27:29" x14ac:dyDescent="0.25">
      <c r="AA299">
        <f>'5'!C221</f>
        <v>0</v>
      </c>
      <c r="AB299">
        <f>IF(AA299="",0,IF(COUNTIF($AA$1:AA299,AA299)=1,1,0))</f>
        <v>0</v>
      </c>
      <c r="AC299" t="str">
        <f>IF(AB299=1,COUNTIF($AB$1:AB299,1),"")</f>
        <v/>
      </c>
    </row>
    <row r="300" spans="27:29" x14ac:dyDescent="0.25">
      <c r="AA300">
        <f>'5'!C222</f>
        <v>0</v>
      </c>
      <c r="AB300">
        <f>IF(AA300="",0,IF(COUNTIF($AA$1:AA300,AA300)=1,1,0))</f>
        <v>0</v>
      </c>
      <c r="AC300" t="str">
        <f>IF(AB300=1,COUNTIF($AB$1:AB300,1),"")</f>
        <v/>
      </c>
    </row>
    <row r="301" spans="27:29" x14ac:dyDescent="0.25">
      <c r="AA301">
        <f>'5'!C223</f>
        <v>0</v>
      </c>
      <c r="AB301">
        <f>IF(AA301="",0,IF(COUNTIF($AA$1:AA301,AA301)=1,1,0))</f>
        <v>0</v>
      </c>
      <c r="AC301" t="str">
        <f>IF(AB301=1,COUNTIF($AB$1:AB301,1),"")</f>
        <v/>
      </c>
    </row>
    <row r="302" spans="27:29" x14ac:dyDescent="0.25">
      <c r="AA302">
        <f>'5'!C224</f>
        <v>0</v>
      </c>
      <c r="AB302">
        <f>IF(AA302="",0,IF(COUNTIF($AA$1:AA302,AA302)=1,1,0))</f>
        <v>0</v>
      </c>
      <c r="AC302" t="str">
        <f>IF(AB302=1,COUNTIF($AB$1:AB302,1),"")</f>
        <v/>
      </c>
    </row>
    <row r="303" spans="27:29" x14ac:dyDescent="0.25">
      <c r="AA303">
        <f>'5'!C225</f>
        <v>0</v>
      </c>
      <c r="AB303">
        <f>IF(AA303="",0,IF(COUNTIF($AA$1:AA303,AA303)=1,1,0))</f>
        <v>0</v>
      </c>
      <c r="AC303" t="str">
        <f>IF(AB303=1,COUNTIF($AB$1:AB303,1),"")</f>
        <v/>
      </c>
    </row>
    <row r="304" spans="27:29" x14ac:dyDescent="0.25">
      <c r="AA304">
        <f>'5'!C226</f>
        <v>0</v>
      </c>
      <c r="AB304">
        <f>IF(AA304="",0,IF(COUNTIF($AA$1:AA304,AA304)=1,1,0))</f>
        <v>0</v>
      </c>
      <c r="AC304" t="str">
        <f>IF(AB304=1,COUNTIF($AB$1:AB304,1),"")</f>
        <v/>
      </c>
    </row>
    <row r="305" spans="27:29" x14ac:dyDescent="0.25">
      <c r="AA305">
        <f>'5'!C227</f>
        <v>0</v>
      </c>
      <c r="AB305">
        <f>IF(AA305="",0,IF(COUNTIF($AA$1:AA305,AA305)=1,1,0))</f>
        <v>0</v>
      </c>
      <c r="AC305" t="str">
        <f>IF(AB305=1,COUNTIF($AB$1:AB305,1),"")</f>
        <v/>
      </c>
    </row>
    <row r="306" spans="27:29" x14ac:dyDescent="0.25">
      <c r="AA306">
        <f>'5'!C228</f>
        <v>0</v>
      </c>
      <c r="AB306">
        <f>IF(AA306="",0,IF(COUNTIF($AA$1:AA306,AA306)=1,1,0))</f>
        <v>0</v>
      </c>
      <c r="AC306" t="str">
        <f>IF(AB306=1,COUNTIF($AB$1:AB306,1),"")</f>
        <v/>
      </c>
    </row>
    <row r="307" spans="27:29" x14ac:dyDescent="0.25">
      <c r="AA307">
        <f>'5'!C229</f>
        <v>0</v>
      </c>
      <c r="AB307">
        <f>IF(AA307="",0,IF(COUNTIF($AA$1:AA307,AA307)=1,1,0))</f>
        <v>0</v>
      </c>
      <c r="AC307" t="str">
        <f>IF(AB307=1,COUNTIF($AB$1:AB307,1),"")</f>
        <v/>
      </c>
    </row>
    <row r="308" spans="27:29" x14ac:dyDescent="0.25">
      <c r="AA308">
        <f>'5'!C230</f>
        <v>0</v>
      </c>
      <c r="AB308">
        <f>IF(AA308="",0,IF(COUNTIF($AA$1:AA308,AA308)=1,1,0))</f>
        <v>0</v>
      </c>
      <c r="AC308" t="str">
        <f>IF(AB308=1,COUNTIF($AB$1:AB308,1),"")</f>
        <v/>
      </c>
    </row>
    <row r="309" spans="27:29" x14ac:dyDescent="0.25">
      <c r="AA309">
        <f>'5'!C231</f>
        <v>0</v>
      </c>
      <c r="AB309">
        <f>IF(AA309="",0,IF(COUNTIF($AA$1:AA309,AA309)=1,1,0))</f>
        <v>0</v>
      </c>
      <c r="AC309" t="str">
        <f>IF(AB309=1,COUNTIF($AB$1:AB309,1),"")</f>
        <v/>
      </c>
    </row>
    <row r="310" spans="27:29" x14ac:dyDescent="0.25">
      <c r="AA310">
        <f>'5'!C232</f>
        <v>0</v>
      </c>
      <c r="AB310">
        <f>IF(AA310="",0,IF(COUNTIF($AA$1:AA310,AA310)=1,1,0))</f>
        <v>0</v>
      </c>
      <c r="AC310" t="str">
        <f>IF(AB310=1,COUNTIF($AB$1:AB310,1),"")</f>
        <v/>
      </c>
    </row>
    <row r="311" spans="27:29" x14ac:dyDescent="0.25">
      <c r="AA311">
        <f>'5'!C233</f>
        <v>0</v>
      </c>
      <c r="AB311">
        <f>IF(AA311="",0,IF(COUNTIF($AA$1:AA311,AA311)=1,1,0))</f>
        <v>0</v>
      </c>
      <c r="AC311" t="str">
        <f>IF(AB311=1,COUNTIF($AB$1:AB311,1),"")</f>
        <v/>
      </c>
    </row>
    <row r="312" spans="27:29" x14ac:dyDescent="0.25">
      <c r="AA312">
        <f>'5'!C234</f>
        <v>0</v>
      </c>
      <c r="AB312">
        <f>IF(AA312="",0,IF(COUNTIF($AA$1:AA312,AA312)=1,1,0))</f>
        <v>0</v>
      </c>
      <c r="AC312" t="str">
        <f>IF(AB312=1,COUNTIF($AB$1:AB312,1),"")</f>
        <v/>
      </c>
    </row>
    <row r="313" spans="27:29" x14ac:dyDescent="0.25">
      <c r="AA313">
        <f>'5'!C235</f>
        <v>0</v>
      </c>
      <c r="AB313">
        <f>IF(AA313="",0,IF(COUNTIF($AA$1:AA313,AA313)=1,1,0))</f>
        <v>0</v>
      </c>
      <c r="AC313" t="str">
        <f>IF(AB313=1,COUNTIF($AB$1:AB313,1),"")</f>
        <v/>
      </c>
    </row>
    <row r="314" spans="27:29" x14ac:dyDescent="0.25">
      <c r="AA314">
        <f>'5'!C236</f>
        <v>0</v>
      </c>
      <c r="AB314">
        <f>IF(AA314="",0,IF(COUNTIF($AA$1:AA314,AA314)=1,1,0))</f>
        <v>0</v>
      </c>
      <c r="AC314" t="str">
        <f>IF(AB314=1,COUNTIF($AB$1:AB314,1),"")</f>
        <v/>
      </c>
    </row>
    <row r="315" spans="27:29" x14ac:dyDescent="0.25">
      <c r="AA315">
        <f>'5'!C237</f>
        <v>0</v>
      </c>
      <c r="AB315">
        <f>IF(AA315="",0,IF(COUNTIF($AA$1:AA315,AA315)=1,1,0))</f>
        <v>0</v>
      </c>
      <c r="AC315" t="str">
        <f>IF(AB315=1,COUNTIF($AB$1:AB315,1),"")</f>
        <v/>
      </c>
    </row>
    <row r="316" spans="27:29" x14ac:dyDescent="0.25">
      <c r="AA316">
        <f>'5'!C238</f>
        <v>0</v>
      </c>
      <c r="AB316">
        <f>IF(AA316="",0,IF(COUNTIF($AA$1:AA316,AA316)=1,1,0))</f>
        <v>0</v>
      </c>
      <c r="AC316" t="str">
        <f>IF(AB316=1,COUNTIF($AB$1:AB316,1),"")</f>
        <v/>
      </c>
    </row>
    <row r="317" spans="27:29" x14ac:dyDescent="0.25">
      <c r="AA317">
        <f>'5'!C239</f>
        <v>0</v>
      </c>
      <c r="AB317">
        <f>IF(AA317="",0,IF(COUNTIF($AA$1:AA317,AA317)=1,1,0))</f>
        <v>0</v>
      </c>
      <c r="AC317" t="str">
        <f>IF(AB317=1,COUNTIF($AB$1:AB317,1),"")</f>
        <v/>
      </c>
    </row>
    <row r="318" spans="27:29" x14ac:dyDescent="0.25">
      <c r="AA318">
        <f>'5'!C240</f>
        <v>0</v>
      </c>
      <c r="AB318">
        <f>IF(AA318="",0,IF(COUNTIF($AA$1:AA318,AA318)=1,1,0))</f>
        <v>0</v>
      </c>
      <c r="AC318" t="str">
        <f>IF(AB318=1,COUNTIF($AB$1:AB318,1),"")</f>
        <v/>
      </c>
    </row>
    <row r="319" spans="27:29" x14ac:dyDescent="0.25">
      <c r="AA319">
        <f>'5'!C241</f>
        <v>0</v>
      </c>
      <c r="AB319">
        <f>IF(AA319="",0,IF(COUNTIF($AA$1:AA319,AA319)=1,1,0))</f>
        <v>0</v>
      </c>
      <c r="AC319" t="str">
        <f>IF(AB319=1,COUNTIF($AB$1:AB319,1),"")</f>
        <v/>
      </c>
    </row>
    <row r="320" spans="27:29" x14ac:dyDescent="0.25">
      <c r="AA320">
        <f>'5'!C242</f>
        <v>0</v>
      </c>
      <c r="AB320">
        <f>IF(AA320="",0,IF(COUNTIF($AA$1:AA320,AA320)=1,1,0))</f>
        <v>0</v>
      </c>
      <c r="AC320" t="str">
        <f>IF(AB320=1,COUNTIF($AB$1:AB320,1),"")</f>
        <v/>
      </c>
    </row>
    <row r="321" spans="27:29" x14ac:dyDescent="0.25">
      <c r="AA321">
        <f>'5'!C243</f>
        <v>0</v>
      </c>
      <c r="AB321">
        <f>IF(AA321="",0,IF(COUNTIF($AA$1:AA321,AA321)=1,1,0))</f>
        <v>0</v>
      </c>
      <c r="AC321" t="str">
        <f>IF(AB321=1,COUNTIF($AB$1:AB321,1),"")</f>
        <v/>
      </c>
    </row>
    <row r="322" spans="27:29" x14ac:dyDescent="0.25">
      <c r="AA322">
        <f>'5'!C244</f>
        <v>0</v>
      </c>
      <c r="AB322">
        <f>IF(AA322="",0,IF(COUNTIF($AA$1:AA322,AA322)=1,1,0))</f>
        <v>0</v>
      </c>
      <c r="AC322" t="str">
        <f>IF(AB322=1,COUNTIF($AB$1:AB322,1),"")</f>
        <v/>
      </c>
    </row>
    <row r="323" spans="27:29" x14ac:dyDescent="0.25">
      <c r="AA323">
        <f>'5'!C245</f>
        <v>0</v>
      </c>
      <c r="AB323">
        <f>IF(AA323="",0,IF(COUNTIF($AA$1:AA323,AA323)=1,1,0))</f>
        <v>0</v>
      </c>
      <c r="AC323" t="str">
        <f>IF(AB323=1,COUNTIF($AB$1:AB323,1),"")</f>
        <v/>
      </c>
    </row>
    <row r="324" spans="27:29" x14ac:dyDescent="0.25">
      <c r="AA324">
        <f>'5'!C246</f>
        <v>0</v>
      </c>
      <c r="AB324">
        <f>IF(AA324="",0,IF(COUNTIF($AA$1:AA324,AA324)=1,1,0))</f>
        <v>0</v>
      </c>
      <c r="AC324" t="str">
        <f>IF(AB324=1,COUNTIF($AB$1:AB324,1),"")</f>
        <v/>
      </c>
    </row>
    <row r="325" spans="27:29" x14ac:dyDescent="0.25">
      <c r="AA325">
        <f>'5'!C247</f>
        <v>0</v>
      </c>
      <c r="AB325">
        <f>IF(AA325="",0,IF(COUNTIF($AA$1:AA325,AA325)=1,1,0))</f>
        <v>0</v>
      </c>
      <c r="AC325" t="str">
        <f>IF(AB325=1,COUNTIF($AB$1:AB325,1),"")</f>
        <v/>
      </c>
    </row>
    <row r="326" spans="27:29" x14ac:dyDescent="0.25">
      <c r="AA326">
        <f>'5'!C248</f>
        <v>0</v>
      </c>
      <c r="AB326">
        <f>IF(AA326="",0,IF(COUNTIF($AA$1:AA326,AA326)=1,1,0))</f>
        <v>0</v>
      </c>
      <c r="AC326" t="str">
        <f>IF(AB326=1,COUNTIF($AB$1:AB326,1),"")</f>
        <v/>
      </c>
    </row>
    <row r="327" spans="27:29" x14ac:dyDescent="0.25">
      <c r="AA327">
        <f>'5'!C249</f>
        <v>0</v>
      </c>
      <c r="AB327">
        <f>IF(AA327="",0,IF(COUNTIF($AA$1:AA327,AA327)=1,1,0))</f>
        <v>0</v>
      </c>
      <c r="AC327" t="str">
        <f>IF(AB327=1,COUNTIF($AB$1:AB327,1),"")</f>
        <v/>
      </c>
    </row>
    <row r="328" spans="27:29" x14ac:dyDescent="0.25">
      <c r="AA328">
        <f>'5'!C250</f>
        <v>0</v>
      </c>
      <c r="AB328">
        <f>IF(AA328="",0,IF(COUNTIF($AA$1:AA328,AA328)=1,1,0))</f>
        <v>0</v>
      </c>
      <c r="AC328" t="str">
        <f>IF(AB328=1,COUNTIF($AB$1:AB328,1),"")</f>
        <v/>
      </c>
    </row>
    <row r="329" spans="27:29" x14ac:dyDescent="0.25">
      <c r="AA329">
        <f>'5'!C251</f>
        <v>0</v>
      </c>
      <c r="AB329">
        <f>IF(AA329="",0,IF(COUNTIF($AA$1:AA329,AA329)=1,1,0))</f>
        <v>0</v>
      </c>
      <c r="AC329" t="str">
        <f>IF(AB329=1,COUNTIF($AB$1:AB329,1),"")</f>
        <v/>
      </c>
    </row>
    <row r="330" spans="27:29" x14ac:dyDescent="0.25">
      <c r="AA330">
        <f>'5'!C252</f>
        <v>0</v>
      </c>
      <c r="AB330">
        <f>IF(AA330="",0,IF(COUNTIF($AA$1:AA330,AA330)=1,1,0))</f>
        <v>0</v>
      </c>
      <c r="AC330" t="str">
        <f>IF(AB330=1,COUNTIF($AB$1:AB330,1),"")</f>
        <v/>
      </c>
    </row>
    <row r="331" spans="27:29" x14ac:dyDescent="0.25">
      <c r="AA331">
        <f>'5'!C253</f>
        <v>0</v>
      </c>
      <c r="AB331">
        <f>IF(AA331="",0,IF(COUNTIF($AA$1:AA331,AA331)=1,1,0))</f>
        <v>0</v>
      </c>
      <c r="AC331" t="str">
        <f>IF(AB331=1,COUNTIF($AB$1:AB331,1),"")</f>
        <v/>
      </c>
    </row>
    <row r="332" spans="27:29" x14ac:dyDescent="0.25">
      <c r="AA332">
        <f>'5'!C254</f>
        <v>0</v>
      </c>
      <c r="AB332">
        <f>IF(AA332="",0,IF(COUNTIF($AA$1:AA332,AA332)=1,1,0))</f>
        <v>0</v>
      </c>
      <c r="AC332" t="str">
        <f>IF(AB332=1,COUNTIF($AB$1:AB332,1),"")</f>
        <v/>
      </c>
    </row>
    <row r="333" spans="27:29" x14ac:dyDescent="0.25">
      <c r="AA333">
        <f>'5'!C255</f>
        <v>0</v>
      </c>
      <c r="AB333">
        <f>IF(AA333="",0,IF(COUNTIF($AA$1:AA333,AA333)=1,1,0))</f>
        <v>0</v>
      </c>
      <c r="AC333" t="str">
        <f>IF(AB333=1,COUNTIF($AB$1:AB333,1),"")</f>
        <v/>
      </c>
    </row>
    <row r="334" spans="27:29" x14ac:dyDescent="0.25">
      <c r="AA334">
        <f>'5'!C256</f>
        <v>0</v>
      </c>
      <c r="AB334">
        <f>IF(AA334="",0,IF(COUNTIF($AA$1:AA334,AA334)=1,1,0))</f>
        <v>0</v>
      </c>
      <c r="AC334" t="str">
        <f>IF(AB334=1,COUNTIF($AB$1:AB334,1),"")</f>
        <v/>
      </c>
    </row>
    <row r="335" spans="27:29" x14ac:dyDescent="0.25">
      <c r="AA335">
        <f>'5'!C257</f>
        <v>0</v>
      </c>
      <c r="AB335">
        <f>IF(AA335="",0,IF(COUNTIF($AA$1:AA335,AA335)=1,1,0))</f>
        <v>0</v>
      </c>
      <c r="AC335" t="str">
        <f>IF(AB335=1,COUNTIF($AB$1:AB335,1),"")</f>
        <v/>
      </c>
    </row>
    <row r="336" spans="27:29" x14ac:dyDescent="0.25">
      <c r="AA336">
        <f>'5'!C258</f>
        <v>0</v>
      </c>
      <c r="AB336">
        <f>IF(AA336="",0,IF(COUNTIF($AA$1:AA336,AA336)=1,1,0))</f>
        <v>0</v>
      </c>
      <c r="AC336" t="str">
        <f>IF(AB336=1,COUNTIF($AB$1:AB336,1),"")</f>
        <v/>
      </c>
    </row>
    <row r="337" spans="27:29" x14ac:dyDescent="0.25">
      <c r="AA337">
        <f>'5'!C259</f>
        <v>0</v>
      </c>
      <c r="AB337">
        <f>IF(AA337="",0,IF(COUNTIF($AA$1:AA337,AA337)=1,1,0))</f>
        <v>0</v>
      </c>
      <c r="AC337" t="str">
        <f>IF(AB337=1,COUNTIF($AB$1:AB337,1),"")</f>
        <v/>
      </c>
    </row>
    <row r="338" spans="27:29" x14ac:dyDescent="0.25">
      <c r="AA338">
        <f>'5'!C260</f>
        <v>0</v>
      </c>
      <c r="AB338">
        <f>IF(AA338="",0,IF(COUNTIF($AA$1:AA338,AA338)=1,1,0))</f>
        <v>0</v>
      </c>
      <c r="AC338" t="str">
        <f>IF(AB338=1,COUNTIF($AB$1:AB338,1),"")</f>
        <v/>
      </c>
    </row>
    <row r="339" spans="27:29" x14ac:dyDescent="0.25">
      <c r="AA339">
        <f>'5'!C261</f>
        <v>0</v>
      </c>
      <c r="AB339">
        <f>IF(AA339="",0,IF(COUNTIF($AA$1:AA339,AA339)=1,1,0))</f>
        <v>0</v>
      </c>
      <c r="AC339" t="str">
        <f>IF(AB339=1,COUNTIF($AB$1:AB339,1),"")</f>
        <v/>
      </c>
    </row>
    <row r="340" spans="27:29" x14ac:dyDescent="0.25">
      <c r="AA340">
        <f>'5'!C262</f>
        <v>0</v>
      </c>
      <c r="AB340">
        <f>IF(AA340="",0,IF(COUNTIF($AA$1:AA340,AA340)=1,1,0))</f>
        <v>0</v>
      </c>
      <c r="AC340" t="str">
        <f>IF(AB340=1,COUNTIF($AB$1:AB340,1),"")</f>
        <v/>
      </c>
    </row>
    <row r="341" spans="27:29" x14ac:dyDescent="0.25">
      <c r="AA341">
        <f>'5'!C263</f>
        <v>0</v>
      </c>
      <c r="AB341">
        <f>IF(AA341="",0,IF(COUNTIF($AA$1:AA341,AA341)=1,1,0))</f>
        <v>0</v>
      </c>
      <c r="AC341" t="str">
        <f>IF(AB341=1,COUNTIF($AB$1:AB341,1),"")</f>
        <v/>
      </c>
    </row>
    <row r="342" spans="27:29" x14ac:dyDescent="0.25">
      <c r="AA342">
        <f>'5'!C264</f>
        <v>0</v>
      </c>
      <c r="AB342">
        <f>IF(AA342="",0,IF(COUNTIF($AA$1:AA342,AA342)=1,1,0))</f>
        <v>0</v>
      </c>
      <c r="AC342" t="str">
        <f>IF(AB342=1,COUNTIF($AB$1:AB342,1),"")</f>
        <v/>
      </c>
    </row>
    <row r="343" spans="27:29" x14ac:dyDescent="0.25">
      <c r="AA343">
        <f>'5'!C265</f>
        <v>0</v>
      </c>
      <c r="AB343">
        <f>IF(AA343="",0,IF(COUNTIF($AA$1:AA343,AA343)=1,1,0))</f>
        <v>0</v>
      </c>
      <c r="AC343" t="str">
        <f>IF(AB343=1,COUNTIF($AB$1:AB343,1),"")</f>
        <v/>
      </c>
    </row>
    <row r="344" spans="27:29" x14ac:dyDescent="0.25">
      <c r="AA344">
        <f>'5'!C266</f>
        <v>0</v>
      </c>
      <c r="AB344">
        <f>IF(AA344="",0,IF(COUNTIF($AA$1:AA344,AA344)=1,1,0))</f>
        <v>0</v>
      </c>
      <c r="AC344" t="str">
        <f>IF(AB344=1,COUNTIF($AB$1:AB344,1),"")</f>
        <v/>
      </c>
    </row>
    <row r="345" spans="27:29" x14ac:dyDescent="0.25">
      <c r="AA345">
        <f>'5'!C267</f>
        <v>0</v>
      </c>
      <c r="AB345">
        <f>IF(AA345="",0,IF(COUNTIF($AA$1:AA345,AA345)=1,1,0))</f>
        <v>0</v>
      </c>
      <c r="AC345" t="str">
        <f>IF(AB345=1,COUNTIF($AB$1:AB345,1),"")</f>
        <v/>
      </c>
    </row>
    <row r="346" spans="27:29" x14ac:dyDescent="0.25">
      <c r="AA346">
        <f>'5'!C268</f>
        <v>0</v>
      </c>
      <c r="AB346">
        <f>IF(AA346="",0,IF(COUNTIF($AA$1:AA346,AA346)=1,1,0))</f>
        <v>0</v>
      </c>
      <c r="AC346" t="str">
        <f>IF(AB346=1,COUNTIF($AB$1:AB346,1),"")</f>
        <v/>
      </c>
    </row>
    <row r="347" spans="27:29" x14ac:dyDescent="0.25">
      <c r="AA347">
        <f>'5'!C269</f>
        <v>0</v>
      </c>
      <c r="AB347">
        <f>IF(AA347="",0,IF(COUNTIF($AA$1:AA347,AA347)=1,1,0))</f>
        <v>0</v>
      </c>
      <c r="AC347" t="str">
        <f>IF(AB347=1,COUNTIF($AB$1:AB347,1),"")</f>
        <v/>
      </c>
    </row>
    <row r="348" spans="27:29" x14ac:dyDescent="0.25">
      <c r="AA348">
        <f>'5'!C270</f>
        <v>0</v>
      </c>
      <c r="AB348">
        <f>IF(AA348="",0,IF(COUNTIF($AA$1:AA348,AA348)=1,1,0))</f>
        <v>0</v>
      </c>
      <c r="AC348" t="str">
        <f>IF(AB348=1,COUNTIF($AB$1:AB348,1),"")</f>
        <v/>
      </c>
    </row>
    <row r="349" spans="27:29" x14ac:dyDescent="0.25">
      <c r="AA349">
        <f>'5'!C271</f>
        <v>0</v>
      </c>
      <c r="AB349">
        <f>IF(AA349="",0,IF(COUNTIF($AA$1:AA349,AA349)=1,1,0))</f>
        <v>0</v>
      </c>
      <c r="AC349" t="str">
        <f>IF(AB349=1,COUNTIF($AB$1:AB349,1),"")</f>
        <v/>
      </c>
    </row>
    <row r="350" spans="27:29" x14ac:dyDescent="0.25">
      <c r="AA350">
        <f>'5'!C272</f>
        <v>0</v>
      </c>
      <c r="AB350">
        <f>IF(AA350="",0,IF(COUNTIF($AA$1:AA350,AA350)=1,1,0))</f>
        <v>0</v>
      </c>
      <c r="AC350" t="str">
        <f>IF(AB350=1,COUNTIF($AB$1:AB350,1),"")</f>
        <v/>
      </c>
    </row>
    <row r="351" spans="27:29" x14ac:dyDescent="0.25">
      <c r="AA351">
        <f>'5'!C273</f>
        <v>0</v>
      </c>
      <c r="AB351">
        <f>IF(AA351="",0,IF(COUNTIF($AA$1:AA351,AA351)=1,1,0))</f>
        <v>0</v>
      </c>
      <c r="AC351" t="str">
        <f>IF(AB351=1,COUNTIF($AB$1:AB351,1),"")</f>
        <v/>
      </c>
    </row>
    <row r="352" spans="27:29" x14ac:dyDescent="0.25">
      <c r="AA352">
        <f>'5'!C274</f>
        <v>0</v>
      </c>
      <c r="AB352">
        <f>IF(AA352="",0,IF(COUNTIF($AA$1:AA352,AA352)=1,1,0))</f>
        <v>0</v>
      </c>
      <c r="AC352" t="str">
        <f>IF(AB352=1,COUNTIF($AB$1:AB352,1),"")</f>
        <v/>
      </c>
    </row>
    <row r="353" spans="27:29" x14ac:dyDescent="0.25">
      <c r="AA353">
        <f>'5'!C275</f>
        <v>0</v>
      </c>
      <c r="AB353">
        <f>IF(AA353="",0,IF(COUNTIF($AA$1:AA353,AA353)=1,1,0))</f>
        <v>0</v>
      </c>
      <c r="AC353" t="str">
        <f>IF(AB353=1,COUNTIF($AB$1:AB353,1),"")</f>
        <v/>
      </c>
    </row>
    <row r="354" spans="27:29" x14ac:dyDescent="0.25">
      <c r="AA354">
        <f>'5'!C276</f>
        <v>0</v>
      </c>
      <c r="AB354">
        <f>IF(AA354="",0,IF(COUNTIF($AA$1:AA354,AA354)=1,1,0))</f>
        <v>0</v>
      </c>
      <c r="AC354" t="str">
        <f>IF(AB354=1,COUNTIF($AB$1:AB354,1),"")</f>
        <v/>
      </c>
    </row>
    <row r="355" spans="27:29" x14ac:dyDescent="0.25">
      <c r="AA355">
        <f>'5'!C277</f>
        <v>0</v>
      </c>
      <c r="AB355">
        <f>IF(AA355="",0,IF(COUNTIF($AA$1:AA355,AA355)=1,1,0))</f>
        <v>0</v>
      </c>
      <c r="AC355" t="str">
        <f>IF(AB355=1,COUNTIF($AB$1:AB355,1),"")</f>
        <v/>
      </c>
    </row>
    <row r="356" spans="27:29" x14ac:dyDescent="0.25">
      <c r="AA356">
        <f>'5'!C278</f>
        <v>0</v>
      </c>
      <c r="AB356">
        <f>IF(AA356="",0,IF(COUNTIF($AA$1:AA356,AA356)=1,1,0))</f>
        <v>0</v>
      </c>
      <c r="AC356" t="str">
        <f>IF(AB356=1,COUNTIF($AB$1:AB356,1),"")</f>
        <v/>
      </c>
    </row>
    <row r="357" spans="27:29" x14ac:dyDescent="0.25">
      <c r="AA357">
        <f>'5'!C279</f>
        <v>0</v>
      </c>
      <c r="AB357">
        <f>IF(AA357="",0,IF(COUNTIF($AA$1:AA357,AA357)=1,1,0))</f>
        <v>0</v>
      </c>
      <c r="AC357" t="str">
        <f>IF(AB357=1,COUNTIF($AB$1:AB357,1),"")</f>
        <v/>
      </c>
    </row>
    <row r="358" spans="27:29" x14ac:dyDescent="0.25">
      <c r="AA358">
        <f>'5'!C280</f>
        <v>0</v>
      </c>
      <c r="AB358">
        <f>IF(AA358="",0,IF(COUNTIF($AA$1:AA358,AA358)=1,1,0))</f>
        <v>0</v>
      </c>
      <c r="AC358" t="str">
        <f>IF(AB358=1,COUNTIF($AB$1:AB358,1),"")</f>
        <v/>
      </c>
    </row>
    <row r="359" spans="27:29" x14ac:dyDescent="0.25">
      <c r="AA359">
        <f>'5'!C281</f>
        <v>0</v>
      </c>
      <c r="AB359">
        <f>IF(AA359="",0,IF(COUNTIF($AA$1:AA359,AA359)=1,1,0))</f>
        <v>0</v>
      </c>
      <c r="AC359" t="str">
        <f>IF(AB359=1,COUNTIF($AB$1:AB359,1),"")</f>
        <v/>
      </c>
    </row>
    <row r="360" spans="27:29" x14ac:dyDescent="0.25">
      <c r="AA360">
        <f>'5'!C282</f>
        <v>0</v>
      </c>
      <c r="AB360">
        <f>IF(AA360="",0,IF(COUNTIF($AA$1:AA360,AA360)=1,1,0))</f>
        <v>0</v>
      </c>
      <c r="AC360" t="str">
        <f>IF(AB360=1,COUNTIF($AB$1:AB360,1),"")</f>
        <v/>
      </c>
    </row>
    <row r="361" spans="27:29" x14ac:dyDescent="0.25">
      <c r="AA361">
        <f>'5'!C283</f>
        <v>0</v>
      </c>
      <c r="AB361">
        <f>IF(AA361="",0,IF(COUNTIF($AA$1:AA361,AA361)=1,1,0))</f>
        <v>0</v>
      </c>
      <c r="AC361" t="str">
        <f>IF(AB361=1,COUNTIF($AB$1:AB361,1),"")</f>
        <v/>
      </c>
    </row>
    <row r="362" spans="27:29" x14ac:dyDescent="0.25">
      <c r="AA362">
        <f>'5'!C284</f>
        <v>0</v>
      </c>
      <c r="AB362">
        <f>IF(AA362="",0,IF(COUNTIF($AA$1:AA362,AA362)=1,1,0))</f>
        <v>0</v>
      </c>
      <c r="AC362" t="str">
        <f>IF(AB362=1,COUNTIF($AB$1:AB362,1),"")</f>
        <v/>
      </c>
    </row>
    <row r="363" spans="27:29" x14ac:dyDescent="0.25">
      <c r="AA363">
        <f>'5'!C285</f>
        <v>0</v>
      </c>
      <c r="AB363">
        <f>IF(AA363="",0,IF(COUNTIF($AA$1:AA363,AA363)=1,1,0))</f>
        <v>0</v>
      </c>
      <c r="AC363" t="str">
        <f>IF(AB363=1,COUNTIF($AB$1:AB363,1),"")</f>
        <v/>
      </c>
    </row>
    <row r="364" spans="27:29" x14ac:dyDescent="0.25">
      <c r="AA364">
        <f>'5'!C286</f>
        <v>0</v>
      </c>
      <c r="AB364">
        <f>IF(AA364="",0,IF(COUNTIF($AA$1:AA364,AA364)=1,1,0))</f>
        <v>0</v>
      </c>
      <c r="AC364" t="str">
        <f>IF(AB364=1,COUNTIF($AB$1:AB364,1),"")</f>
        <v/>
      </c>
    </row>
    <row r="365" spans="27:29" x14ac:dyDescent="0.25">
      <c r="AA365">
        <f>'5'!C287</f>
        <v>0</v>
      </c>
      <c r="AB365">
        <f>IF(AA365="",0,IF(COUNTIF($AA$1:AA365,AA365)=1,1,0))</f>
        <v>0</v>
      </c>
      <c r="AC365" t="str">
        <f>IF(AB365=1,COUNTIF($AB$1:AB365,1),"")</f>
        <v/>
      </c>
    </row>
    <row r="366" spans="27:29" x14ac:dyDescent="0.25">
      <c r="AA366">
        <f>'5'!C288</f>
        <v>0</v>
      </c>
      <c r="AB366">
        <f>IF(AA366="",0,IF(COUNTIF($AA$1:AA366,AA366)=1,1,0))</f>
        <v>0</v>
      </c>
      <c r="AC366" t="str">
        <f>IF(AB366=1,COUNTIF($AB$1:AB366,1),"")</f>
        <v/>
      </c>
    </row>
    <row r="367" spans="27:29" x14ac:dyDescent="0.25">
      <c r="AA367">
        <f>'5'!C289</f>
        <v>0</v>
      </c>
      <c r="AB367">
        <f>IF(AA367="",0,IF(COUNTIF($AA$1:AA367,AA367)=1,1,0))</f>
        <v>0</v>
      </c>
      <c r="AC367" t="str">
        <f>IF(AB367=1,COUNTIF($AB$1:AB367,1),"")</f>
        <v/>
      </c>
    </row>
    <row r="368" spans="27:29" x14ac:dyDescent="0.25">
      <c r="AA368">
        <f>'5'!C290</f>
        <v>0</v>
      </c>
      <c r="AB368">
        <f>IF(AA368="",0,IF(COUNTIF($AA$1:AA368,AA368)=1,1,0))</f>
        <v>0</v>
      </c>
      <c r="AC368" t="str">
        <f>IF(AB368=1,COUNTIF($AB$1:AB368,1),"")</f>
        <v/>
      </c>
    </row>
    <row r="369" spans="27:29" x14ac:dyDescent="0.25">
      <c r="AA369">
        <f>'5'!C291</f>
        <v>0</v>
      </c>
      <c r="AB369">
        <f>IF(AA369="",0,IF(COUNTIF($AA$1:AA369,AA369)=1,1,0))</f>
        <v>0</v>
      </c>
      <c r="AC369" t="str">
        <f>IF(AB369=1,COUNTIF($AB$1:AB369,1),"")</f>
        <v/>
      </c>
    </row>
    <row r="370" spans="27:29" x14ac:dyDescent="0.25">
      <c r="AA370">
        <f>'5'!C292</f>
        <v>0</v>
      </c>
      <c r="AB370">
        <f>IF(AA370="",0,IF(COUNTIF($AA$1:AA370,AA370)=1,1,0))</f>
        <v>0</v>
      </c>
      <c r="AC370" t="str">
        <f>IF(AB370=1,COUNTIF($AB$1:AB370,1),"")</f>
        <v/>
      </c>
    </row>
    <row r="371" spans="27:29" x14ac:dyDescent="0.25">
      <c r="AA371">
        <f>'5'!C293</f>
        <v>0</v>
      </c>
      <c r="AB371">
        <f>IF(AA371="",0,IF(COUNTIF($AA$1:AA371,AA371)=1,1,0))</f>
        <v>0</v>
      </c>
      <c r="AC371" t="str">
        <f>IF(AB371=1,COUNTIF($AB$1:AB371,1),"")</f>
        <v/>
      </c>
    </row>
    <row r="372" spans="27:29" x14ac:dyDescent="0.25">
      <c r="AA372">
        <f>'5'!C294</f>
        <v>0</v>
      </c>
      <c r="AB372">
        <f>IF(AA372="",0,IF(COUNTIF($AA$1:AA372,AA372)=1,1,0))</f>
        <v>0</v>
      </c>
      <c r="AC372" t="str">
        <f>IF(AB372=1,COUNTIF($AB$1:AB372,1),"")</f>
        <v/>
      </c>
    </row>
    <row r="373" spans="27:29" x14ac:dyDescent="0.25">
      <c r="AA373">
        <f>'5'!C295</f>
        <v>0</v>
      </c>
      <c r="AB373">
        <f>IF(AA373="",0,IF(COUNTIF($AA$1:AA373,AA373)=1,1,0))</f>
        <v>0</v>
      </c>
      <c r="AC373" t="str">
        <f>IF(AB373=1,COUNTIF($AB$1:AB373,1),"")</f>
        <v/>
      </c>
    </row>
    <row r="374" spans="27:29" x14ac:dyDescent="0.25">
      <c r="AA374">
        <f>'5'!C296</f>
        <v>0</v>
      </c>
      <c r="AB374">
        <f>IF(AA374="",0,IF(COUNTIF($AA$1:AA374,AA374)=1,1,0))</f>
        <v>0</v>
      </c>
      <c r="AC374" t="str">
        <f>IF(AB374=1,COUNTIF($AB$1:AB374,1),"")</f>
        <v/>
      </c>
    </row>
    <row r="375" spans="27:29" x14ac:dyDescent="0.25">
      <c r="AA375">
        <f>'5'!C297</f>
        <v>0</v>
      </c>
      <c r="AB375">
        <f>IF(AA375="",0,IF(COUNTIF($AA$1:AA375,AA375)=1,1,0))</f>
        <v>0</v>
      </c>
      <c r="AC375" t="str">
        <f>IF(AB375=1,COUNTIF($AB$1:AB375,1),"")</f>
        <v/>
      </c>
    </row>
    <row r="376" spans="27:29" x14ac:dyDescent="0.25">
      <c r="AA376">
        <f>'5'!C298</f>
        <v>0</v>
      </c>
      <c r="AB376">
        <f>IF(AA376="",0,IF(COUNTIF($AA$1:AA376,AA376)=1,1,0))</f>
        <v>0</v>
      </c>
      <c r="AC376" t="str">
        <f>IF(AB376=1,COUNTIF($AB$1:AB376,1),"")</f>
        <v/>
      </c>
    </row>
    <row r="377" spans="27:29" x14ac:dyDescent="0.25">
      <c r="AA377">
        <f>'5'!C299</f>
        <v>0</v>
      </c>
      <c r="AB377">
        <f>IF(AA377="",0,IF(COUNTIF($AA$1:AA377,AA377)=1,1,0))</f>
        <v>0</v>
      </c>
      <c r="AC377" t="str">
        <f>IF(AB377=1,COUNTIF($AB$1:AB377,1),"")</f>
        <v/>
      </c>
    </row>
    <row r="378" spans="27:29" x14ac:dyDescent="0.25">
      <c r="AA378">
        <f>'5'!C300</f>
        <v>0</v>
      </c>
      <c r="AB378">
        <f>IF(AA378="",0,IF(COUNTIF($AA$1:AA378,AA378)=1,1,0))</f>
        <v>0</v>
      </c>
      <c r="AC378" t="str">
        <f>IF(AB378=1,COUNTIF($AB$1:AB378,1),"")</f>
        <v/>
      </c>
    </row>
    <row r="379" spans="27:29" x14ac:dyDescent="0.25">
      <c r="AA379">
        <f>'5'!C301</f>
        <v>0</v>
      </c>
      <c r="AB379">
        <f>IF(AA379="",0,IF(COUNTIF($AA$1:AA379,AA379)=1,1,0))</f>
        <v>0</v>
      </c>
      <c r="AC379" t="str">
        <f>IF(AB379=1,COUNTIF($AB$1:AB379,1),"")</f>
        <v/>
      </c>
    </row>
    <row r="380" spans="27:29" x14ac:dyDescent="0.25">
      <c r="AA380">
        <f>'5'!C302</f>
        <v>0</v>
      </c>
      <c r="AB380">
        <f>IF(AA380="",0,IF(COUNTIF($AA$1:AA380,AA380)=1,1,0))</f>
        <v>0</v>
      </c>
      <c r="AC380" t="str">
        <f>IF(AB380=1,COUNTIF($AB$1:AB380,1),"")</f>
        <v/>
      </c>
    </row>
    <row r="381" spans="27:29" x14ac:dyDescent="0.25">
      <c r="AA381">
        <f>'5'!C303</f>
        <v>0</v>
      </c>
      <c r="AB381">
        <f>IF(AA381="",0,IF(COUNTIF($AA$1:AA381,AA381)=1,1,0))</f>
        <v>0</v>
      </c>
      <c r="AC381" t="str">
        <f>IF(AB381=1,COUNTIF($AB$1:AB381,1),"")</f>
        <v/>
      </c>
    </row>
    <row r="382" spans="27:29" x14ac:dyDescent="0.25">
      <c r="AA382">
        <f>'5'!C304</f>
        <v>0</v>
      </c>
      <c r="AB382">
        <f>IF(AA382="",0,IF(COUNTIF($AA$1:AA382,AA382)=1,1,0))</f>
        <v>0</v>
      </c>
      <c r="AC382" t="str">
        <f>IF(AB382=1,COUNTIF($AB$1:AB382,1),"")</f>
        <v/>
      </c>
    </row>
    <row r="383" spans="27:29" x14ac:dyDescent="0.25">
      <c r="AA383">
        <f>'5'!C305</f>
        <v>0</v>
      </c>
      <c r="AB383">
        <f>IF(AA383="",0,IF(COUNTIF($AA$1:AA383,AA383)=1,1,0))</f>
        <v>0</v>
      </c>
      <c r="AC383" t="str">
        <f>IF(AB383=1,COUNTIF($AB$1:AB383,1),"")</f>
        <v/>
      </c>
    </row>
    <row r="384" spans="27:29" x14ac:dyDescent="0.25">
      <c r="AA384">
        <f>'5'!C306</f>
        <v>0</v>
      </c>
      <c r="AB384">
        <f>IF(AA384="",0,IF(COUNTIF($AA$1:AA384,AA384)=1,1,0))</f>
        <v>0</v>
      </c>
      <c r="AC384" t="str">
        <f>IF(AB384=1,COUNTIF($AB$1:AB384,1),"")</f>
        <v/>
      </c>
    </row>
    <row r="385" spans="27:29" x14ac:dyDescent="0.25">
      <c r="AA385">
        <f>'5'!C307</f>
        <v>0</v>
      </c>
      <c r="AB385">
        <f>IF(AA385="",0,IF(COUNTIF($AA$1:AA385,AA385)=1,1,0))</f>
        <v>0</v>
      </c>
      <c r="AC385" t="str">
        <f>IF(AB385=1,COUNTIF($AB$1:AB385,1),"")</f>
        <v/>
      </c>
    </row>
    <row r="386" spans="27:29" x14ac:dyDescent="0.25">
      <c r="AA386">
        <f>'5'!C308</f>
        <v>0</v>
      </c>
      <c r="AB386">
        <f>IF(AA386="",0,IF(COUNTIF($AA$1:AA386,AA386)=1,1,0))</f>
        <v>0</v>
      </c>
      <c r="AC386" t="str">
        <f>IF(AB386=1,COUNTIF($AB$1:AB386,1),"")</f>
        <v/>
      </c>
    </row>
    <row r="387" spans="27:29" x14ac:dyDescent="0.25">
      <c r="AA387">
        <f>'5'!C309</f>
        <v>0</v>
      </c>
      <c r="AB387">
        <f>IF(AA387="",0,IF(COUNTIF($AA$1:AA387,AA387)=1,1,0))</f>
        <v>0</v>
      </c>
      <c r="AC387" t="str">
        <f>IF(AB387=1,COUNTIF($AB$1:AB387,1),"")</f>
        <v/>
      </c>
    </row>
  </sheetData>
  <autoFilter ref="A3:N203" xr:uid="{00000000-0009-0000-0000-000008000000}"/>
  <sortState xmlns:xlrd2="http://schemas.microsoft.com/office/spreadsheetml/2017/richdata2" ref="A4:N387">
    <sortCondition ref="N3:N387"/>
  </sortState>
  <mergeCells count="2">
    <mergeCell ref="A1:N1"/>
    <mergeCell ref="A2:N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20</vt:i4>
      </vt:variant>
    </vt:vector>
  </HeadingPairs>
  <TitlesOfParts>
    <vt:vector size="20" baseType="lpstr">
      <vt:lpstr>Instructies</vt:lpstr>
      <vt:lpstr>Barneveld</vt:lpstr>
      <vt:lpstr>Baarn</vt:lpstr>
      <vt:lpstr>Scherpenzeel</vt:lpstr>
      <vt:lpstr>4</vt:lpstr>
      <vt:lpstr>5</vt:lpstr>
      <vt:lpstr>Stand 1 en Jun</vt:lpstr>
      <vt:lpstr>Stand 3</vt:lpstr>
      <vt:lpstr>Stand Nwl</vt:lpstr>
      <vt:lpstr>Witte Trui</vt:lpstr>
      <vt:lpstr>Sprint W1</vt:lpstr>
      <vt:lpstr>Sprint W2</vt:lpstr>
      <vt:lpstr>Sprint W3</vt:lpstr>
      <vt:lpstr>Sprint W4</vt:lpstr>
      <vt:lpstr>Sprint W5</vt:lpstr>
      <vt:lpstr>Groene Kl1</vt:lpstr>
      <vt:lpstr>Groene Kl3</vt:lpstr>
      <vt:lpstr>Groene Nwl</vt:lpstr>
      <vt:lpstr>Punten</vt:lpstr>
      <vt:lpstr>Sprintpunten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Coen Beckers</cp:lastModifiedBy>
  <cp:revision>0</cp:revision>
  <dcterms:created xsi:type="dcterms:W3CDTF">2026-05-31T11:01:05Z</dcterms:created>
  <dcterms:modified xsi:type="dcterms:W3CDTF">2026-07-07T15:50:26Z</dcterms:modified>
  <dc:language>en-US</dc:language>
</cp:coreProperties>
</file>